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800" tabRatio="500" firstSheet="4" activeTab="4"/>
  </bookViews>
  <sheets>
    <sheet name="CandidatosFilaDeEspera" sheetId="1" state="hidden" r:id="rId1"/>
    <sheet name="dados_01" sheetId="2" state="hidden" r:id="rId2"/>
    <sheet name="Dados_Esc_JAB_2026" sheetId="3" state="hidden" r:id="rId3"/>
    <sheet name="dados_02" sheetId="4" state="hidden" r:id="rId4"/>
    <sheet name="regional_01" sheetId="5" r:id="rId5"/>
    <sheet name="regional_02" sheetId="6" r:id="rId6"/>
    <sheet name="regional_03" sheetId="7" r:id="rId7"/>
    <sheet name="regional_04" sheetId="8" r:id="rId8"/>
    <sheet name="regional_05" sheetId="9" r:id="rId9"/>
    <sheet name="regional_06" sheetId="10" r:id="rId10"/>
    <sheet name="regional_07" sheetId="11" r:id="rId11"/>
    <sheet name="Dados_consolidados" sheetId="12" state="hidden" r:id="rId12"/>
    <sheet name="link" sheetId="13" state="hidden" r:id="rId13"/>
  </sheets>
  <definedNames>
    <definedName name="_xlnm._FilterDatabase" localSheetId="0" hidden="1">CandidatosFilaDeEspera!$A$1:$AC$1098</definedName>
    <definedName name="_xlnm._FilterDatabase" localSheetId="3" hidden="1">dados_02!$A$1:$Z$1000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<sst xmlns="http://schemas.openxmlformats.org/spreadsheetml/2006/main" count="2478" uniqueCount="1375">
  <si>
    <t>ID</t>
  </si>
  <si>
    <t>Regional</t>
  </si>
  <si>
    <t>Unidade Escolar</t>
  </si>
  <si>
    <t>INEP</t>
  </si>
  <si>
    <t>Ano Escolar</t>
  </si>
  <si>
    <t>Turno</t>
  </si>
  <si>
    <t>Fila</t>
  </si>
  <si>
    <t>Posição</t>
  </si>
  <si>
    <t>Protocolo</t>
  </si>
  <si>
    <t>Cadastro</t>
  </si>
  <si>
    <t>Nome</t>
  </si>
  <si>
    <t>CPF</t>
  </si>
  <si>
    <t>Data de Nascimento</t>
  </si>
  <si>
    <t>Documentos</t>
  </si>
  <si>
    <t>Quantidade de contatos efetuados</t>
  </si>
  <si>
    <t>DATA DA SOLICITAÇÃO</t>
  </si>
  <si>
    <t>ESTUDANTE</t>
  </si>
  <si>
    <t>DATA DE NASCIMENTO</t>
  </si>
  <si>
    <t>ANO</t>
  </si>
  <si>
    <t>ESCOLA PRETENDIDA 1</t>
  </si>
  <si>
    <t>Link:</t>
  </si>
  <si>
    <t>https://docs.google.com/spreadsheets/d/1vNIkiz5BnQGJhB0rYlcWtvdRawVM8FN0ulC08s8OgtA/edit?usp=drive_web&amp;ouid=118073618687250513844</t>
  </si>
  <si>
    <t>QTD</t>
  </si>
  <si>
    <t>REGIONAL</t>
  </si>
  <si>
    <t>ESCOLA</t>
  </si>
  <si>
    <t>URL</t>
  </si>
  <si>
    <t>CNPJ</t>
  </si>
  <si>
    <t>E-mail</t>
  </si>
  <si>
    <t>LOCAL</t>
  </si>
  <si>
    <t>TURNO</t>
  </si>
  <si>
    <t>Column 11</t>
  </si>
  <si>
    <t>Column 12</t>
  </si>
  <si>
    <t>Column 13</t>
  </si>
  <si>
    <t>Column 14</t>
  </si>
  <si>
    <t>Column 15</t>
  </si>
  <si>
    <t>Column 16</t>
  </si>
  <si>
    <t>Column 17</t>
  </si>
  <si>
    <t>Column 18</t>
  </si>
  <si>
    <t>Column 19</t>
  </si>
  <si>
    <t>Column 20</t>
  </si>
  <si>
    <t>Column 21</t>
  </si>
  <si>
    <t>Column 22</t>
  </si>
  <si>
    <t>Column 23</t>
  </si>
  <si>
    <t>Column 24</t>
  </si>
  <si>
    <t>Column 25</t>
  </si>
  <si>
    <t>Column 26</t>
  </si>
  <si>
    <t>Column 27</t>
  </si>
  <si>
    <t>Column 28</t>
  </si>
  <si>
    <t>Column 29</t>
  </si>
  <si>
    <t>Column 30</t>
  </si>
  <si>
    <t>Column 31</t>
  </si>
  <si>
    <t>Column 32</t>
  </si>
  <si>
    <t>Column 33</t>
  </si>
  <si>
    <t>Column 34</t>
  </si>
  <si>
    <t>REGIONAL 1</t>
  </si>
  <si>
    <t>CEMEI PROFESSORA JARDELINA MARIA DA LUZ</t>
  </si>
  <si>
    <t>1BaWhjLEBP1M-wsQ715H5beXWWPvqkowgY3D1v-JQEQk</t>
  </si>
  <si>
    <t>https://docs.google.com/spreadsheets/d/1BaWhjLEBP1M-wsQ715H5beXWWPvqkowgY3D1v-JQEQk/edit?gid=585939456#gid=585939456</t>
  </si>
  <si>
    <t>Esc. não encontrada</t>
  </si>
  <si>
    <t>cemeijardelinam.daluz@educacao.jaboatao.pe.gov.br</t>
  </si>
  <si>
    <t>URBANA</t>
  </si>
  <si>
    <t>REGULAR</t>
  </si>
  <si>
    <t>Rua Arthur Xavier, 480</t>
  </si>
  <si>
    <t>54150-190</t>
  </si>
  <si>
    <t>SOCORRO</t>
  </si>
  <si>
    <t>SIM</t>
  </si>
  <si>
    <t>26196654</t>
  </si>
  <si>
    <t>26188333</t>
  </si>
  <si>
    <t>CEMEI PROFESSORA MARIA JOSE DA SILVA</t>
  </si>
  <si>
    <t>1B3OcqL2i8XrU5mKssd98vCYfSAwp8OHFLRh44x3ZgWU</t>
  </si>
  <si>
    <t>https://docs.google.com/spreadsheets/d/1B3OcqL2i8XrU5mKssd98vCYfSAwp8OHFLRh44x3ZgWU/edit</t>
  </si>
  <si>
    <t>35.811.931/0001-54</t>
  </si>
  <si>
    <t>cemeimariajosedasilva@educacao.jaboatao.pe.gov.br</t>
  </si>
  <si>
    <t>RUA AMAZONAS, S/N</t>
  </si>
  <si>
    <t>54.090-410</t>
  </si>
  <si>
    <t>LOTE 92</t>
  </si>
  <si>
    <t>JABOATÃO</t>
  </si>
  <si>
    <t>26147840</t>
  </si>
  <si>
    <t>CEMEI SANTO AMARO</t>
  </si>
  <si>
    <t>1X8w1UYpig3Vfj0717fmV8MFUOd73ViJA029X_QCIT2Y</t>
  </si>
  <si>
    <t>https://docs.google.com/spreadsheets/d/1X8w1UYpig3Vfj0717fmV8MFUOd73ViJA029X_QCIT2Y/edit</t>
  </si>
  <si>
    <t>11.171.933/0001-68</t>
  </si>
  <si>
    <t>escolasantoamaro@educacao.jaboatao.pe.gov.br</t>
  </si>
  <si>
    <t>Av. gal. Manoel Rabelo</t>
  </si>
  <si>
    <t>54.160-000</t>
  </si>
  <si>
    <t>ENGENHO VELHO</t>
  </si>
  <si>
    <t>26108593</t>
  </si>
  <si>
    <t>COLEGIO MUNICIPAL HUMBERTO BARRADAS</t>
  </si>
  <si>
    <t>1bYiD3kJ38elsxhhEC6l-DBTIQJ_cApH_R9BNwt0MWeA</t>
  </si>
  <si>
    <t>https://docs.google.com/spreadsheets/d/1bYiD3kJ38elsxhhEC6l-DBTIQJ_cApH_R9BNwt0MWeA/edit</t>
  </si>
  <si>
    <t>01.940.812/0001-80</t>
  </si>
  <si>
    <t>colegiohumbertobarradas@educacao.jaboatao.pe.gov.br</t>
  </si>
  <si>
    <t>INTEGRAL</t>
  </si>
  <si>
    <t>Praça do Professor , s/n</t>
  </si>
  <si>
    <t>54.150-051</t>
  </si>
  <si>
    <t>26156270</t>
  </si>
  <si>
    <t>CRECHE CIRANDA CIRANDINHA</t>
  </si>
  <si>
    <t>1C69tHEi4jt9vpdrPKdqjcNWk4q7dVdCWcym8kJcnDCo</t>
  </si>
  <si>
    <t>https://docs.google.com/spreadsheets/d/1C69tHEi4jt9vpdrPKdqjcNWk4q7dVdCWcym8kJcnDCo/edit</t>
  </si>
  <si>
    <t>11.101.070/0001-52</t>
  </si>
  <si>
    <t>crechecirandacirandinha@educacao.jaboatao.pe.gov.br</t>
  </si>
  <si>
    <t>Av. 1</t>
  </si>
  <si>
    <t>54.090-470</t>
  </si>
  <si>
    <t>VILA RICA</t>
  </si>
  <si>
    <t>26188767</t>
  </si>
  <si>
    <t>CRECHE MUNICIPAL PROFESSORA MARIA RITA LINS MARTINS</t>
  </si>
  <si>
    <t>1YrTBQjU_kAPbOD1NEXHpOFXTK6CoZyiQVnCeWzVc6jE</t>
  </si>
  <si>
    <t>https://docs.google.com/spreadsheets/d/1YrTBQjU_kAPbOD1NEXHpOFXTK6CoZyiQVnCeWzVc6jE/edit</t>
  </si>
  <si>
    <t>33.595.698/0001-94</t>
  </si>
  <si>
    <t>mariaritalinsmartins@educacao.jaboatao.pe.gov.br</t>
  </si>
  <si>
    <t>Rua João Ramalho</t>
  </si>
  <si>
    <t>54.080-170</t>
  </si>
  <si>
    <t>VISTA ALEGRE</t>
  </si>
  <si>
    <t>26108950</t>
  </si>
  <si>
    <t>ESCOLA MUNICIPAL ALICE VILAR DE AQUINO</t>
  </si>
  <si>
    <t>1bZhfPgqzhqHKhjlbb7-olYgEaLvnUOZKluxZZDJxGW4</t>
  </si>
  <si>
    <t>https://docs.google.com/spreadsheets/d/1bZhfPgqzhqHKhjlbb7-olYgEaLvnUOZKluxZZDJxGW4/edit</t>
  </si>
  <si>
    <t>03.363.586/0001-47</t>
  </si>
  <si>
    <t>escolaalicevilardeaquino@educacao.jaboatao.pe.gov.br</t>
  </si>
  <si>
    <t>AV.GENERAL MONOEL RABELO, S/Nº</t>
  </si>
  <si>
    <t>54.160-260</t>
  </si>
  <si>
    <t>26144689</t>
  </si>
  <si>
    <t>ESCOLA MUNICIPAL ANIBAL VAREJAO</t>
  </si>
  <si>
    <t>1WUWJ14hayEglgZHzot5Fnc6Kwv20TPdUOcV0KYB3Lso</t>
  </si>
  <si>
    <t>https://docs.google.com/spreadsheets/d/1WUWJ14hayEglgZHzot5Fnc6Kwv20TPdUOcV0KYB3Lso/edit</t>
  </si>
  <si>
    <t>07.595.805/0001-74</t>
  </si>
  <si>
    <t>escolaanibalvarejao@educacao.jaboatao.pe.gov.br</t>
  </si>
  <si>
    <t>Rua Pau Brasil, SN</t>
  </si>
  <si>
    <t>54.110-390</t>
  </si>
  <si>
    <t>CENTRO</t>
  </si>
  <si>
    <t>26110873</t>
  </si>
  <si>
    <t>ESCOLA MUNICIPAL ARNALDO PEIXOTO</t>
  </si>
  <si>
    <t>1OAdf9I8lmQRU0QwE_PMqqmOH4XR2Th1jilQedWQFrqQ</t>
  </si>
  <si>
    <t>https://docs.google.com/spreadsheets/d/1OAdf9I8lmQRU0QwE_PMqqmOH4XR2Th1jilQedWQFrqQ/edit</t>
  </si>
  <si>
    <t>01.937.809/0001-07</t>
  </si>
  <si>
    <t>escolaarnaldopeixoto@educacao.jaboatao.pe.gov.br</t>
  </si>
  <si>
    <t>RURAL</t>
  </si>
  <si>
    <t>Rua Pernambuco, S/N</t>
  </si>
  <si>
    <t>54.090-440</t>
  </si>
  <si>
    <t>LOTE 92 - VILA RICA</t>
  </si>
  <si>
    <t>26109980</t>
  </si>
  <si>
    <t>ESCOLA MUNICIPAL BENJAMIN CONSTANT</t>
  </si>
  <si>
    <t>1eTXYw3TkHKp5DvadL-DL_uS2unwn8OF92Glsa4xdIGk</t>
  </si>
  <si>
    <t>https://docs.google.com/spreadsheets/d/1eTXYw3TkHKp5DvadL-DL_uS2unwn8OF92Glsa4xdIGk/edit</t>
  </si>
  <si>
    <t>10.370.082/0001-10</t>
  </si>
  <si>
    <t>escolabenjaminconstant@educacao.jaboatao.pe.gov.br</t>
  </si>
  <si>
    <t>PRAÇA FLORIANO PEIXOTO</t>
  </si>
  <si>
    <t>26108496</t>
  </si>
  <si>
    <t>ESCOLA MUNICIPAL DOM BOSCO</t>
  </si>
  <si>
    <t>1TO0_PxndPYimjwQDlOLGtAAS6dlS2p2dHUPN2jLY_4Q</t>
  </si>
  <si>
    <t>https://docs.google.com/spreadsheets/d/1TO0_PxndPYimjwQDlOLGtAAS6dlS2p2dHUPN2jLY_4Q/edit</t>
  </si>
  <si>
    <t>01.943.392/0001-95</t>
  </si>
  <si>
    <t>escoladombosco@educacao.jaboatao.pe.gov.br</t>
  </si>
  <si>
    <t>Rua Dom Bosco, 90</t>
  </si>
  <si>
    <t>54.100-270</t>
  </si>
  <si>
    <t>26110962</t>
  </si>
  <si>
    <t>ESCOLA MUNICIPAL DR JOSE LEOPOLDINO</t>
  </si>
  <si>
    <t>1eXldVBQ-idsoakNjNjPFkAbEeNDMAKNNyFeTIsfheZ8</t>
  </si>
  <si>
    <t>https://docs.google.com/spreadsheets/d/1eXldVBQ-idsoakNjNjPFkAbEeNDMAKNNyFeTIsfheZ8/edit</t>
  </si>
  <si>
    <t>01.937.679/0001-02</t>
  </si>
  <si>
    <t>escolajoseleopoldino@educacao.jaboatao.pe.gov.br</t>
  </si>
  <si>
    <t>Rua Venezuela</t>
  </si>
  <si>
    <t>54.120-570</t>
  </si>
  <si>
    <t>SANTO ALEIXO</t>
  </si>
  <si>
    <t>26108909</t>
  </si>
  <si>
    <t>ESCOLA MUNICIPAL DR LUIZ GONZAGA MARANHAO</t>
  </si>
  <si>
    <t>1IFFoxrNJDsvyD9RnS3a01eWXu1tpI9SLZ6ksXMtZD_8</t>
  </si>
  <si>
    <t>https://docs.google.com/spreadsheets/d/1IFFoxrNJDsvyD9RnS3a01eWXu1tpI9SLZ6ksXMtZD_8/edit</t>
  </si>
  <si>
    <t>02.000.294/0001-87</t>
  </si>
  <si>
    <t>escolaluizgonzagamaranhao@educacao.jaboatao.pe.gov.br</t>
  </si>
  <si>
    <t>Rua Frei Caneca, 73</t>
  </si>
  <si>
    <t>54.100-140</t>
  </si>
  <si>
    <t>SÃO JOSÉ</t>
  </si>
  <si>
    <t>26109026</t>
  </si>
  <si>
    <t>ESCOLA MUNICIPAL DR MAURICIO MARTINS DE ALBUQUERQUE</t>
  </si>
  <si>
    <t>1kc7WT64qa_CJ1p0l9xpVYY1hPUEx44IfbR_B5MvNfNs</t>
  </si>
  <si>
    <t>https://docs.google.com/spreadsheets/d/1kc7WT64qa_CJ1p0l9xpVYY1hPUEx44IfbR_B5MvNfNs/edit</t>
  </si>
  <si>
    <t>03.207.522/0001-57</t>
  </si>
  <si>
    <t>escoladrmauriciomartinsdealbuquerque@educacao.jaboatao.pe.gov.br</t>
  </si>
  <si>
    <t>Rua Fazenda Suassusna</t>
  </si>
  <si>
    <t>54.160-230</t>
  </si>
  <si>
    <t>USINA JABOATÃO</t>
  </si>
  <si>
    <t>26108461</t>
  </si>
  <si>
    <t>ESCOLA MUNICIPAL JOAO BOSCO DE SENA</t>
  </si>
  <si>
    <t>1kzmhyLgDnEW2X2PcWbv5jN0DLbiaMwG2t9Vg6tgLLvU</t>
  </si>
  <si>
    <t>https://docs.google.com/spreadsheets/d/1kzmhyLgDnEW2X2PcWbv5jN0DLbiaMwG2t9Vg6tgLLvU/edit</t>
  </si>
  <si>
    <t>01.940.703/0001-62</t>
  </si>
  <si>
    <t>escolajoaoboscodesena@educacao.jaboatao.pe.gov.br</t>
  </si>
  <si>
    <t>RUA CAMARATINGA, s/n</t>
  </si>
  <si>
    <t>54.120-250</t>
  </si>
  <si>
    <t>26111063</t>
  </si>
  <si>
    <t>ESCOLA MUNICIPAL JOSE CARNEIRO</t>
  </si>
  <si>
    <t>1oXT4J9ykZu37Y5aI1Mu-E56TQFvJxNmuvZkpgSR-UJ8</t>
  </si>
  <si>
    <t>https://docs.google.com/spreadsheets/d/1oXT4J9ykZu37Y5aI1Mu-E56TQFvJxNmuvZkpgSR-UJ8/edit</t>
  </si>
  <si>
    <t>01.940.756/0001-83</t>
  </si>
  <si>
    <t>escolajosecarneiro@educacao.jaboatao.pe.gov.br</t>
  </si>
  <si>
    <t>Rua Chile, 226</t>
  </si>
  <si>
    <t>54.120-420</t>
  </si>
  <si>
    <t>26111373</t>
  </si>
  <si>
    <t>ESCOLA MUNICIPAL JUDITH FIGUEIROA</t>
  </si>
  <si>
    <t>1r5HfDgfvxRVtffWlqJo_klSgF_pTMyskcIysoKpbNI0</t>
  </si>
  <si>
    <t>https://docs.google.com/spreadsheets/d/1r5HfDgfvxRVtffWlqJo_klSgF_pTMyskcIysoKpbNI0/edit</t>
  </si>
  <si>
    <t>01.939.000/0001-14</t>
  </si>
  <si>
    <t>escolajudithfigueiroa@educacao.jaboatao.pe.gov.br</t>
  </si>
  <si>
    <t>Rua Prof. José Felix da Silva, 135, Lote 56</t>
  </si>
  <si>
    <t>54.353-060</t>
  </si>
  <si>
    <t>MURIBECA</t>
  </si>
  <si>
    <t>26109247</t>
  </si>
  <si>
    <t>ESCOLA MUNICIPAL LEUZA PEREIRA</t>
  </si>
  <si>
    <t>1tDLaR5xj1YCPSi-PdcnRHSERynNXdMT1MVTVBmCOS5g</t>
  </si>
  <si>
    <t>https://docs.google.com/spreadsheets/d/1tDLaR5xj1YCPSi-PdcnRHSERynNXdMT1MVTVBmCOS5g/edit</t>
  </si>
  <si>
    <t>01.937.779/0001-39</t>
  </si>
  <si>
    <t>escolaleuzapereira@educacao.jaboatao.pe.gov.br</t>
  </si>
  <si>
    <t>Rua Rio formoso</t>
  </si>
  <si>
    <t>54.070-260</t>
  </si>
  <si>
    <t>26109603</t>
  </si>
  <si>
    <t>ESCOLA MUNICIPAL LILIOSA RAMOS</t>
  </si>
  <si>
    <t>1zE08cg4vk5i6ib4UBCQiy6Fkyj3ZkAvyrQ_nFVnU4GU</t>
  </si>
  <si>
    <t>https://docs.google.com/spreadsheets/d/1zE08cg4vk5i6ib4UBCQiy6Fkyj3ZkAvyrQ_nFVnU4GU/edit</t>
  </si>
  <si>
    <t>01.937.757/0001-79</t>
  </si>
  <si>
    <t>escolaliliosaramos@educacao.jaboatao.pe.gov.br</t>
  </si>
  <si>
    <t>Rua Padre Chromácio Leão, 62</t>
  </si>
  <si>
    <t>54.080-330</t>
  </si>
  <si>
    <t>26111101</t>
  </si>
  <si>
    <t>ESCOLA MUNICIPAL MARECHAL CASTELO BRANCO</t>
  </si>
  <si>
    <t>10Krmjow5WHNiF2o1k61-B2aPOY0HxRaz_LYgmUHYvKU</t>
  </si>
  <si>
    <t>https://docs.google.com/spreadsheets/d/10Krmjow5WHNiF2o1k61-B2aPOY0HxRaz_LYgmUHYvKU/edit</t>
  </si>
  <si>
    <t>01.941.520/0001-61</t>
  </si>
  <si>
    <t>escolamarechalcastelobranco@educacao.jaboatao.pe.gov.br</t>
  </si>
  <si>
    <t>Rua Madre de Deus, s/n</t>
  </si>
  <si>
    <t>54.090-060</t>
  </si>
  <si>
    <t>26111110</t>
  </si>
  <si>
    <t>ESCOLA MUNICIPAL MARIA DE LOURDES RAMOS</t>
  </si>
  <si>
    <t>14ObKm5mzjIjElqPjQvZGM5eefOYA7YLzD5Sa5sBSg98</t>
  </si>
  <si>
    <t>https://docs.google.com/spreadsheets/d/14ObKm5mzjIjElqPjQvZGM5eefOYA7YLzD5Sa5sBSg98/edit</t>
  </si>
  <si>
    <t>01.937.786/0001-30</t>
  </si>
  <si>
    <t>escolamariadelourdesramos@educacao.jaboatao.pe.gov.br</t>
  </si>
  <si>
    <t>Vila N.S. da Piedade</t>
  </si>
  <si>
    <t>26109620</t>
  </si>
  <si>
    <t>ESCOLA MUNICIPAL MEDALHA MILAGROSA</t>
  </si>
  <si>
    <t>16pU2X4xPkYNrMtF-vtzclTEabJig6tCIbXUoLjxPHwE</t>
  </si>
  <si>
    <t>https://docs.google.com/spreadsheets/d/16pU2X4xPkYNrMtF-vtzclTEabJig6tCIbXUoLjxPHwE/edit</t>
  </si>
  <si>
    <t>03.257.073/0001-51</t>
  </si>
  <si>
    <t>escolamedalhamilagrosa@educacao.jaboatao.pe.gov.br</t>
  </si>
  <si>
    <t>Rua Jardim Floriano, 35, Praça Marechal Floriano Peixoto</t>
  </si>
  <si>
    <t>54.245-260</t>
  </si>
  <si>
    <t>26144867</t>
  </si>
  <si>
    <t>ESCOLA MUNICIPAL NOVA VISAO</t>
  </si>
  <si>
    <t>1GQTR8k-xw-H6TdQ1cfc0APXSh6cPoZhoDFSWu9VdGyo</t>
  </si>
  <si>
    <t>https://docs.google.com/spreadsheets/d/1GQTR8k-xw-H6TdQ1cfc0APXSh6cPoZhoDFSWu9VdGyo/edit</t>
  </si>
  <si>
    <t>05.249.280/0001-90</t>
  </si>
  <si>
    <t>centroeducacionalnovavisao@educacao.jaboatao.pe.gov.br</t>
  </si>
  <si>
    <t>Av. Gal. Manoel Rabelo, 111</t>
  </si>
  <si>
    <t>54.100-000</t>
  </si>
  <si>
    <t>26108976</t>
  </si>
  <si>
    <t>ESCOLA MUNICIPAL PADRE AURINO CARACCIOLO</t>
  </si>
  <si>
    <t>1JGHDcr0qbxa50pytv8M_-EJ9_AhploU_gy7FALaZm8s</t>
  </si>
  <si>
    <t>https://docs.google.com/spreadsheets/d/1JGHDcr0qbxa50pytv8M_-EJ9_AhploU_gy7FALaZm8s/edit</t>
  </si>
  <si>
    <t>03.205.086/0001-87</t>
  </si>
  <si>
    <t>escolapadreaurinocaracciolo@educacao.jaboatao.pe.gov.br</t>
  </si>
  <si>
    <t>Rua Epitácio Pessoa</t>
  </si>
  <si>
    <t>54.100-450</t>
  </si>
  <si>
    <t>26108968</t>
  </si>
  <si>
    <t>ESCOLA MUNICIPAL PASTOR JOAO ADALGISO</t>
  </si>
  <si>
    <t>1MMkJj-Z8OKgeCSBmKJ7ReoIXD0VKw7pKAOzSmw-QLmo</t>
  </si>
  <si>
    <t>https://docs.google.com/spreadsheets/d/1MMkJj-Z8OKgeCSBmKJ7ReoIXD0VKw7pKAOzSmw-QLmo/edit</t>
  </si>
  <si>
    <t>01.934.012/0001-56</t>
  </si>
  <si>
    <t>escolapastorjoaoadalgiso@educacao.jaboatao.pe.gov.br</t>
  </si>
  <si>
    <t>Rua Padre Roma, 196</t>
  </si>
  <si>
    <t>54.100-090</t>
  </si>
  <si>
    <t>26108550</t>
  </si>
  <si>
    <t>ESCOLA MUNICIPAL POETA MANUEL BANDEIRA</t>
  </si>
  <si>
    <t>1O2DExwtvAprujsGy1FDdIWEA8TxrM-2vvwr3Gx3AmmQ</t>
  </si>
  <si>
    <t>https://docs.google.com/spreadsheets/d/1O2DExwtvAprujsGy1FDdIWEA8TxrM-2vvwr3Gx3AmmQ/edit</t>
  </si>
  <si>
    <t>05.731.364/0001-65</t>
  </si>
  <si>
    <t>escolamanuelbandeira@educacao.jaboatao.pe.gov.br</t>
  </si>
  <si>
    <t>4ª Trav. Estrada da Piedade, 1360</t>
  </si>
  <si>
    <t>50.030-230</t>
  </si>
  <si>
    <t>26109239</t>
  </si>
  <si>
    <t>ESCOLA MUNICIPAL POETA VINICIUS DE MORAIS</t>
  </si>
  <si>
    <t>1OJqv0V8KANpk--qDtzwOT29wh5CeyqC9LePPkk-sEm4</t>
  </si>
  <si>
    <t>https://docs.google.com/spreadsheets/d/1OJqv0V8KANpk--qDtzwOT29wh5CeyqC9LePPkk-sEm4/edit</t>
  </si>
  <si>
    <t>01.937.672/0001-90</t>
  </si>
  <si>
    <t>escolapoetaviniciusdemorais@educacao.jaboatao.pe.gov.br</t>
  </si>
  <si>
    <t>Rua Boa Esperança</t>
  </si>
  <si>
    <t>54.100-230</t>
  </si>
  <si>
    <t>26109280</t>
  </si>
  <si>
    <t>ESCOLA MUNICIPAL PROFESSOR AUGUSTO PEREIRA JUNIOR</t>
  </si>
  <si>
    <t>1Q32Im_-SgbkgYkiscVnEXcjpyq6ixl-0ehfu9dDDNPY</t>
  </si>
  <si>
    <t>https://docs.google.com/spreadsheets/d/1Q32Im_-SgbkgYkiscVnEXcjpyq6ixl-0ehfu9dDDNPY/edit</t>
  </si>
  <si>
    <t>03.231.502/0001-11</t>
  </si>
  <si>
    <t>escolaaugustopereirajunior@educacao.jaboatao.pe.gov.br</t>
  </si>
  <si>
    <t>Rua Garanhuns, 131</t>
  </si>
  <si>
    <t>54.140-260</t>
  </si>
  <si>
    <t>26109000</t>
  </si>
  <si>
    <t>ESCOLA MUNICIPAL PROFESSOR EDWARD BERNARDINO</t>
  </si>
  <si>
    <t>1T-_OfljTZP-hSrWNXe95lYqA8rYntPctfg9OtkeFMyM</t>
  </si>
  <si>
    <t>https://docs.google.com/spreadsheets/d/1T-_OfljTZP-hSrWNXe95lYqA8rYntPctfg9OtkeFMyM/edit</t>
  </si>
  <si>
    <t>01.937.783/0001-05</t>
  </si>
  <si>
    <t>escolaprofessoredwardbernardino@educacao.jaboatao.pe.gov.br</t>
  </si>
  <si>
    <t>Rua Francisco Alves</t>
  </si>
  <si>
    <t>54.150-090</t>
  </si>
  <si>
    <t>26109140</t>
  </si>
  <si>
    <t>ESCOLA MUNICIPAL PROFESSOR ROBERTO INACIO DA SILVA</t>
  </si>
  <si>
    <t>1_I0Ksdr-sv5CSLi2-kyWW5juwwF5_i1ux9tx58I988A</t>
  </si>
  <si>
    <t>https://docs.google.com/spreadsheets/d/1_I0Ksdr-sv5CSLi2-kyWW5juwwF5_i1ux9tx58I988A/edit</t>
  </si>
  <si>
    <t>31.130.788/0001-84</t>
  </si>
  <si>
    <t>escolaprofrobertoinacio@educacao.jaboatao.pe.gov.br</t>
  </si>
  <si>
    <t>54.110-000</t>
  </si>
  <si>
    <t>26109069</t>
  </si>
  <si>
    <t>ESCOLA MUNICIPAL RURAL MARIA ANGELA DE ALBUQUERQUE MARANHAO</t>
  </si>
  <si>
    <t>1i4y3BeLWXrC59JEN675QzVjmTrPXc3VP027lrJ-D6dQ</t>
  </si>
  <si>
    <t>https://docs.google.com/spreadsheets/d/1i4y3BeLWXrC59JEN675QzVjmTrPXc3VP027lrJ-D6dQ/edit</t>
  </si>
  <si>
    <t>03.214.623/0001-55</t>
  </si>
  <si>
    <t>escolamariaangeladealbuquerquemaranhao@educacao.jaboatao.pe.gov.br</t>
  </si>
  <si>
    <t>ENGENHO MACUJÉ, 179</t>
  </si>
  <si>
    <t>54.499-899</t>
  </si>
  <si>
    <t>ZONA RURAL</t>
  </si>
  <si>
    <t>26178052</t>
  </si>
  <si>
    <t>ESCOLA MUNICIPAL RURAL PAULO FREIRE</t>
  </si>
  <si>
    <t>1m8msSdmwt6dTBs7qilT3wuZBElGvdYUe4LAKqZLxZtw</t>
  </si>
  <si>
    <t>https://docs.google.com/spreadsheets/d/1m8msSdmwt6dTBs7qilT3wuZBElGvdYUe4LAKqZLxZtw/edit</t>
  </si>
  <si>
    <t>08.936.907/0001-79</t>
  </si>
  <si>
    <t>escolaprofessorpaulofreire@educacao.jaboatao.pe.gov.br</t>
  </si>
  <si>
    <t>Engenho Camarço</t>
  </si>
  <si>
    <t>ASSENTAMENTO CAMARCO. CENTRO</t>
  </si>
  <si>
    <t>26109875</t>
  </si>
  <si>
    <t>ESCOLA MUNICIPAL RURAL PROFESSORA ELIZABETH MENEZES</t>
  </si>
  <si>
    <t>1zZWCfu6IRZGl2lQtPKK0oHWq5eBsNpxTawbob_TGSoo</t>
  </si>
  <si>
    <t>https://docs.google.com/spreadsheets/d/1zZWCfu6IRZGl2lQtPKK0oHWq5eBsNpxTawbob_TGSoo/edit</t>
  </si>
  <si>
    <t>03.206.374/0001-56</t>
  </si>
  <si>
    <t>escolaprofessoraaelizabethmenezes@educacao.jaboatao.pe.gov.br</t>
  </si>
  <si>
    <t>Br 232, Km 15</t>
  </si>
  <si>
    <t>54.120-000</t>
  </si>
  <si>
    <t>ENG GOIABEIRA</t>
  </si>
  <si>
    <t>26174723</t>
  </si>
  <si>
    <t>ESCOLA MUNICIPAL SANTA CATHERINE LABOURE</t>
  </si>
  <si>
    <t>1zrfN9zMvtKGXowDvgLa8sBwhDyuCBrMHJnsqmJSi9YQ</t>
  </si>
  <si>
    <t>https://docs.google.com/spreadsheets/d/1zrfN9zMvtKGXowDvgLa8sBwhDyuCBrMHJnsqmJSi9YQ/edit</t>
  </si>
  <si>
    <t>06.935.967/0001-41</t>
  </si>
  <si>
    <t>escolacatherinelaboure@educacao.jaboatao.pe.gov.br</t>
  </si>
  <si>
    <t>54.150-190</t>
  </si>
  <si>
    <t>CAVALEIRO</t>
  </si>
  <si>
    <t>26109310</t>
  </si>
  <si>
    <t>ESCOLA MUNICIPAL SAO SEBASTIAO</t>
  </si>
  <si>
    <t>109x-pf-ouyTSvhegdfsqWY8twftS3OP5XRo7277sAZ8</t>
  </si>
  <si>
    <t>https://docs.google.com/spreadsheets/d/109x-pf-ouyTSvhegdfsqWY8twftS3OP5XRo7277sAZ8/edit</t>
  </si>
  <si>
    <t>01.937.680/0001-37</t>
  </si>
  <si>
    <t>escolasaosebastiao@educacao.jaboatao.pe.gov.br</t>
  </si>
  <si>
    <t>Rua Amazonas, s/n</t>
  </si>
  <si>
    <t>REGIONAL 2</t>
  </si>
  <si>
    <t>26186063</t>
  </si>
  <si>
    <t>CEMEI LUIZ FERNANDO DE CARVALHO ARCOVERDE</t>
  </si>
  <si>
    <t>1-IX4vt-USfwvZDVisHj5WEsmyXPxfQXF1wYBsp0Ni9A</t>
  </si>
  <si>
    <t>https://docs.google.com/spreadsheets/d/1-IX4vt-USfwvZDVisHj5WEsmyXPxfQXF1wYBsp0Ni9A/edit</t>
  </si>
  <si>
    <t>35.929.536/0001-70</t>
  </si>
  <si>
    <t>cemeiprofluizfernando@educacao.jaboatao.pe.gov.br</t>
  </si>
  <si>
    <t>RUA JOSEFA ÁGUIDA DA CONCEIÇÃO, S/N</t>
  </si>
  <si>
    <t>54.280-363</t>
  </si>
  <si>
    <t>SUCUPIRA</t>
  </si>
  <si>
    <t>26177560</t>
  </si>
  <si>
    <t>CENTRO EDUCACIONAL CRISTO REDENTOR</t>
  </si>
  <si>
    <t>10rh43a3XFZokMANB7hNiwdPhbJ-8dB3txWJA3kPUsAk</t>
  </si>
  <si>
    <t>https://docs.google.com/spreadsheets/d/10rh43a3XFZokMANB7hNiwdPhbJ-8dB3txWJA3kPUsAk/edit</t>
  </si>
  <si>
    <t>07.537.555/0001-16</t>
  </si>
  <si>
    <t>centroeducacionalcristoredentor@educacao.jaboatao.pe.gov.br</t>
  </si>
  <si>
    <t>Rua da Castanhola, 34</t>
  </si>
  <si>
    <t>54.250-150</t>
  </si>
  <si>
    <t>26109425</t>
  </si>
  <si>
    <t>CRECHE ALAYDE MARIA DA CONCEIÇÃO</t>
  </si>
  <si>
    <t>17d3ZE-h8pvXkQTku-2RI2UzfVHACJSOO6e1AnTtapgY</t>
  </si>
  <si>
    <t>https://docs.google.com/spreadsheets/d/17d3ZE-h8pvXkQTku-2RI2UzfVHACJSOO6e1AnTtapgY/edit</t>
  </si>
  <si>
    <t>11.289.617/0001-95</t>
  </si>
  <si>
    <t>escolaalaydemariadaconceicao@educacao.jaboatao.pe.gov.br</t>
  </si>
  <si>
    <t>Rua Vale Verde, S/N</t>
  </si>
  <si>
    <t>54.270-060</t>
  </si>
  <si>
    <t>PACHECO</t>
  </si>
  <si>
    <t>26190168</t>
  </si>
  <si>
    <t>CRECHE LEDA MARIA QUEIROZ DO REGO BARROS</t>
  </si>
  <si>
    <t>13B_w21dhitIxsj8pYqYKXmq1b6QkNRx3ddAcnKlJFtM</t>
  </si>
  <si>
    <t>https://docs.google.com/spreadsheets/d/13B_w21dhitIxsj8pYqYKXmq1b6QkNRx3ddAcnKlJFtM/edit</t>
  </si>
  <si>
    <t>41.591.092/0001-09</t>
  </si>
  <si>
    <t>crecheprofessoraledamaria@educacao.jaboatao.pe.gov.br</t>
  </si>
  <si>
    <t>Avenida Governador Agamenon Magalhães, 193</t>
  </si>
  <si>
    <t>54.210-00</t>
  </si>
  <si>
    <t>26171554</t>
  </si>
  <si>
    <t>ESCOLA MUNICIPAL ALAIDE PEDROSA</t>
  </si>
  <si>
    <t>12V58P2cE5Pji_SQr8tbStBebzVi5HBlDWNh7N3a_hR4</t>
  </si>
  <si>
    <t>https://docs.google.com/spreadsheets/d/12V58P2cE5Pji_SQr8tbStBebzVi5HBlDWNh7N3a_hR4/edit</t>
  </si>
  <si>
    <t>07.550.995/0001-03</t>
  </si>
  <si>
    <t>escolaalaidepedrosa@educacao.jaboatao.pe.gov.br</t>
  </si>
  <si>
    <t>Rua 42, 117</t>
  </si>
  <si>
    <t>54.230-000</t>
  </si>
  <si>
    <t>UR 11</t>
  </si>
  <si>
    <t>26186853</t>
  </si>
  <si>
    <t>ESCOLA MUNICIPAL ALBENICE MARIA DA SILVA</t>
  </si>
  <si>
    <t>1INSuUsv55vxK9McV-Qyl5RoHTH4_m590UAMFKNAET0o</t>
  </si>
  <si>
    <t>https://docs.google.com/spreadsheets/d/1INSuUsv55vxK9McV-Qyl5RoHTH4_m590UAMFKNAET0o/edit</t>
  </si>
  <si>
    <t>29.269.458/0001-22</t>
  </si>
  <si>
    <t>escolaalbenicemaria@educacao.jaboatao.pe.gov.br</t>
  </si>
  <si>
    <t>Rua São Paulo, S/N</t>
  </si>
  <si>
    <t>VILA DOIS CARNEIROS</t>
  </si>
  <si>
    <t>26109972</t>
  </si>
  <si>
    <t>ESCOLA MUNICIPAL ALBERTO SANTOS DUMONT</t>
  </si>
  <si>
    <t>1RgWjvMTM9rrhJbqMZr8GxtRZMAZrlZPwgjl9aXES-Hw</t>
  </si>
  <si>
    <t>https://docs.google.com/spreadsheets/d/1RgWjvMTM9rrhJbqMZr8GxtRZMAZrlZPwgjl9aXES-Hw/edit</t>
  </si>
  <si>
    <t>01.940.693/0001-65</t>
  </si>
  <si>
    <t>escolaalbertosantosdumont@educacao.jaboatao.pe.gov.br</t>
  </si>
  <si>
    <t>Av. Mal. Cândido Rondon</t>
  </si>
  <si>
    <t>54.170-050</t>
  </si>
  <si>
    <t>ALTO DO VENTO</t>
  </si>
  <si>
    <t>26108739</t>
  </si>
  <si>
    <t>ESCOLA MUNICIPAL ANTONIO VIEIRA DE MELO</t>
  </si>
  <si>
    <t>19YCpTt3Ha7YVjFC2p0i54dwDCCoET1fKH9UgR9t5WHc</t>
  </si>
  <si>
    <t>https://docs.google.com/spreadsheets/d/19YCpTt3Ha7YVjFC2p0i54dwDCCoET1fKH9UgR9t5WHc/edit</t>
  </si>
  <si>
    <t>01.949.752/0001-66</t>
  </si>
  <si>
    <t>escolaantoniovieirademelo@educacao.jaboatao.pe.gov.br</t>
  </si>
  <si>
    <t>Av. Presidente Dutra, S/N</t>
  </si>
  <si>
    <t>54.300-022</t>
  </si>
  <si>
    <t>ZUMBI DO PACHECO</t>
  </si>
  <si>
    <t>26110261</t>
  </si>
  <si>
    <t>ESCOLA MUNICIPAL BELEM DE JUDA</t>
  </si>
  <si>
    <t>147DhBLwEV8Y1GUtyqTYRqAXJ4s6QKwkzHB2BrIQyWNM</t>
  </si>
  <si>
    <t>https://docs.google.com/spreadsheets/d/147DhBLwEV8Y1GUtyqTYRqAXJ4s6QKwkzHB2BrIQyWNM/edit</t>
  </si>
  <si>
    <t>01.938.979/0001-06</t>
  </si>
  <si>
    <t>escolabelemdejuda@educacao.jaboatao.pe.gov.br</t>
  </si>
  <si>
    <t>Av. Belém de Judá , 536</t>
  </si>
  <si>
    <t>54.290-000</t>
  </si>
  <si>
    <t>ALTO DOIS CARNEIROS</t>
  </si>
  <si>
    <t>26110156</t>
  </si>
  <si>
    <t>ESCOLA MUNICIPAL DAVINO TENORIO</t>
  </si>
  <si>
    <t>1QpXRxwtWtEpgEs6HHqL44GaKnuaCVl3wHg1cBgqnxro</t>
  </si>
  <si>
    <t>https://docs.google.com/spreadsheets/d/1QpXRxwtWtEpgEs6HHqL44GaKnuaCVl3wHg1cBgqnxro/edit</t>
  </si>
  <si>
    <t>01.940.695/0001-54</t>
  </si>
  <si>
    <t>escoladavinotenorio@educacao.jaboatao.pe.gov.br</t>
  </si>
  <si>
    <t>Rua Santa Margarida, SN</t>
  </si>
  <si>
    <t>54.250-570</t>
  </si>
  <si>
    <t>26110334</t>
  </si>
  <si>
    <t>ESCOLA MUNICIPAL DEMERY CARNEIRO</t>
  </si>
  <si>
    <t>1XJRAavMYMsnxFnYxr7VIDVyg9jGe_SSiF5OtP7wn9Ys</t>
  </si>
  <si>
    <t>https://docs.google.com/spreadsheets/d/1XJRAavMYMsnxFnYxr7VIDVyg9jGe_SSiF5OtP7wn9Ys/edit</t>
  </si>
  <si>
    <t>01.941.724/0001-00</t>
  </si>
  <si>
    <t>escolademerycarneiro@educacao.jaboatao.pe.gov.br</t>
  </si>
  <si>
    <t>RUA 8 , S/N</t>
  </si>
  <si>
    <t>54.290-051</t>
  </si>
  <si>
    <t>VILA DOS CARNEIROS</t>
  </si>
  <si>
    <t>26108917</t>
  </si>
  <si>
    <t>ESCOLA MUNICIPAL DOM PEDRO DE ALCANTARA</t>
  </si>
  <si>
    <t>1_snRNZeBHkdIhomzYKNhCGr46EgMfpGSqpG5oe_yWUw</t>
  </si>
  <si>
    <t>https://docs.google.com/spreadsheets/d/1_snRNZeBHkdIhomzYKNhCGr46EgMfpGSqpG5oe_yWUw/edit</t>
  </si>
  <si>
    <t>01.930.394/0001-40</t>
  </si>
  <si>
    <t>escoladompedrodealcantara@educacao.jaboatao.pe.gov.br</t>
  </si>
  <si>
    <t>Av. Almirante Saldanha</t>
  </si>
  <si>
    <t>54.160-360</t>
  </si>
  <si>
    <t>26541734</t>
  </si>
  <si>
    <t>ESCOLA MUNICIPAL DR LUIZ REGUEIRA</t>
  </si>
  <si>
    <t>1jCIdSaOd6MOpjGtPdA3A34SyGjCTzTEgSaeyg-SLNYk</t>
  </si>
  <si>
    <t>https://docs.google.com/spreadsheets/d/1jCIdSaOd6MOpjGtPdA3A34SyGjCTzTEgSaeyg-SLNYk/edit</t>
  </si>
  <si>
    <t>08.169.386/0001-71</t>
  </si>
  <si>
    <t>escolaprofessorluizregueira@educacao.jaboatao.pe.gov.br</t>
  </si>
  <si>
    <t>Rua Anália de Souza Ramos, 46</t>
  </si>
  <si>
    <t>54.210-390</t>
  </si>
  <si>
    <t>26109271</t>
  </si>
  <si>
    <t>ESCOLA MUNICIPAL DUQUE DE CAXIAS</t>
  </si>
  <si>
    <t>1pyQH3mhSYibG5XRe3m-5Zh-ZlmHW72-MZjkZlfLZdQU</t>
  </si>
  <si>
    <t>https://docs.google.com/spreadsheets/d/1pyQH3mhSYibG5XRe3m-5Zh-ZlmHW72-MZjkZlfLZdQU/edit</t>
  </si>
  <si>
    <t>01.950.407/0001-42</t>
  </si>
  <si>
    <t>escoladuquedecaxias@educacao.jaboatao.pe.gov.br</t>
  </si>
  <si>
    <t>Parque Ribeiro de Brito</t>
  </si>
  <si>
    <t>54.170-010</t>
  </si>
  <si>
    <t>26174707</t>
  </si>
  <si>
    <t>ESCOLA MUNICIPAL ESTHER CAMPELO</t>
  </si>
  <si>
    <t>1tSY3Z5AM-vtACQuq1jB4g7H_VW4YXx8Ysx4pj9VKEGE</t>
  </si>
  <si>
    <t>https://docs.google.com/spreadsheets/d/1tSY3Z5AM-vtACQuq1jB4g7H_VW4YXx8Ysx4pj9VKEGE/edit</t>
  </si>
  <si>
    <t>07.538.862/0001-11</t>
  </si>
  <si>
    <t>escolaestercampelo@educacao.jaboatao.pe.gov.br</t>
  </si>
  <si>
    <t>Rua São Tiago, 88A</t>
  </si>
  <si>
    <t>54.290-352</t>
  </si>
  <si>
    <t>26109484</t>
  </si>
  <si>
    <t>ESCOLA MUNICIPAL GILDO VERISSIMO</t>
  </si>
  <si>
    <t>1yiiHOBm25EHUdGF0_uLpl2OB_sBca07jpsxkCjsVc3c</t>
  </si>
  <si>
    <t>https://docs.google.com/spreadsheets/d/1yiiHOBm25EHUdGF0_uLpl2OB_sBca07jpsxkCjsVc3c/edit</t>
  </si>
  <si>
    <t>01.946.175/0001-59</t>
  </si>
  <si>
    <t>escolagildoverissimo@educacao.jaboatao.pe.gov.br</t>
  </si>
  <si>
    <t>RUA JOAQUIM TENÓRIO, S/N</t>
  </si>
  <si>
    <t>54.250-310</t>
  </si>
  <si>
    <t>26177595</t>
  </si>
  <si>
    <t>ESCOLA MUNICIPAL JOSE CARLOS RIBEIRO</t>
  </si>
  <si>
    <t>1-baMM8Hs0U5i0UVgP6ekG5iGhUOU9MGWbq9-PA8m31A</t>
  </si>
  <si>
    <t>https://docs.google.com/spreadsheets/d/1-baMM8Hs0U5i0UVgP6ekG5iGhUOU9MGWbq9-PA8m31A/edit</t>
  </si>
  <si>
    <t>08.412.460/0001-39</t>
  </si>
  <si>
    <t>escolajosecarlosribeiro@educacao.jaboatao.pe.gov.br</t>
  </si>
  <si>
    <t>Rua África, 53</t>
  </si>
  <si>
    <t>54.280-340</t>
  </si>
  <si>
    <t>26110342</t>
  </si>
  <si>
    <t>ESCOLA MUNICIPAL JOSE CLAUDINO DA SILVA</t>
  </si>
  <si>
    <t>1AmFWWIK05Qtw_-IrRKD8GJ95PGaKo_HN5ybMiQw2-VE</t>
  </si>
  <si>
    <t>https://docs.google.com/spreadsheets/d/1AmFWWIK05Qtw_-IrRKD8GJ95PGaKo_HN5ybMiQw2-VE/edit</t>
  </si>
  <si>
    <t>01.946.442/0001-98</t>
  </si>
  <si>
    <t>escolajoseclaudinodasilva@educacao.jaboatao.pe.gov.br</t>
  </si>
  <si>
    <t>Rua do Lima, S/N</t>
  </si>
  <si>
    <t>54.260-220</t>
  </si>
  <si>
    <t>ALTO DA COLINA</t>
  </si>
  <si>
    <t>26110369</t>
  </si>
  <si>
    <t>ESCOLA MUNICIPAL MARIA AUGUSTA DUTRA</t>
  </si>
  <si>
    <t>1I4iwc1gJxSWt6m2PAlR3lDGTeBqgh4qJa8erDg3QD2o</t>
  </si>
  <si>
    <t>https://docs.google.com/spreadsheets/d/1I4iwc1gJxSWt6m2PAlR3lDGTeBqgh4qJa8erDg3QD2o/edit</t>
  </si>
  <si>
    <t>01.940.699/0001-32</t>
  </si>
  <si>
    <t>escolamariaaugustadutra@educacao.jaboatao.pe.gov.br</t>
  </si>
  <si>
    <t>Rua Maria Augusta Dutra, S/N</t>
  </si>
  <si>
    <t>51.160-350</t>
  </si>
  <si>
    <t>26139987</t>
  </si>
  <si>
    <t>ESCOLA MUNICIPAL NOSSA SENHORA DA CONCEIÇÃO</t>
  </si>
  <si>
    <t>1LFGgoESGgWEM2kqXhZnNHLDYJu4m1jYhzl0-e4odB2c</t>
  </si>
  <si>
    <t>https://docs.google.com/spreadsheets/d/1LFGgoESGgWEM2kqXhZnNHLDYJu4m1jYhzl0-e4odB2c/edit</t>
  </si>
  <si>
    <t>05.304.649/0001-10</t>
  </si>
  <si>
    <t>escolanossasenhoradaconceicao@educacao.jaboatao.pe.gov.br</t>
  </si>
  <si>
    <t>Av. Gal. Manoel Rabelo, 3827</t>
  </si>
  <si>
    <t>26186292</t>
  </si>
  <si>
    <t>ESCOLA MUNICIPAL ODETE GOMES DE MORAIS</t>
  </si>
  <si>
    <t>11JcJP1Z5o2G-mOTuZ31oISJ8w9weXayJsE3KlDvo1jQ</t>
  </si>
  <si>
    <t>https://docs.google.com/spreadsheets/d/11JcJP1Z5o2G-mOTuZ31oISJ8w9weXayJsE3KlDvo1jQ/edit</t>
  </si>
  <si>
    <t>26.667.099/0001-73</t>
  </si>
  <si>
    <t>escolaprofodetegomes@educacao.jaboatao.pe.gov.br</t>
  </si>
  <si>
    <t>RUA SEVERINO VAREJÃO , 133</t>
  </si>
  <si>
    <t>54.250-500</t>
  </si>
  <si>
    <t>26110202</t>
  </si>
  <si>
    <t>ESCOLA MUNICIPAL ODETTE PEREIRA CARNEIRO</t>
  </si>
  <si>
    <t>1B4k0g41uKJBuT8ecXx66Yew958T3tr7wAhIwSFOkpjo</t>
  </si>
  <si>
    <t>https://docs.google.com/spreadsheets/d/1B4k0g41uKJBuT8ecXx66Yew958T3tr7wAhIwSFOkpjo/edit</t>
  </si>
  <si>
    <t>01.952.707/0001-60</t>
  </si>
  <si>
    <t>escolaodettepereiracarneiro@educacao.jaboatao.pe.gov.br</t>
  </si>
  <si>
    <t>Rua Sólon de Lucena, 26</t>
  </si>
  <si>
    <t>54.170-570</t>
  </si>
  <si>
    <t>26177579</t>
  </si>
  <si>
    <t>ESCOLA MUNICIPAL OLAVO BILAC</t>
  </si>
  <si>
    <t>1PQ6sCM7Acuy-v9EgV-VNafYcJ78d9K0MYfD3PmqHSr0</t>
  </si>
  <si>
    <t>https://docs.google.com/spreadsheets/d/1PQ6sCM7Acuy-v9EgV-VNafYcJ78d9K0MYfD3PmqHSr0/edit</t>
  </si>
  <si>
    <t>08.102.571/0001-49</t>
  </si>
  <si>
    <t>escolaolavobilac@educacao.jaboatao.pe.gov.br</t>
  </si>
  <si>
    <t>Rua México, 47</t>
  </si>
  <si>
    <t>54.280-420</t>
  </si>
  <si>
    <t>26110385</t>
  </si>
  <si>
    <t>ESCOLA MUNICIPAL PEDRO ALVARES CABRAL</t>
  </si>
  <si>
    <t>1PKuBb0TMzMjh5RwI6asYVi4e-x-2GSX0BtAOc-Oc6eg</t>
  </si>
  <si>
    <t>https://docs.google.com/spreadsheets/d/1PKuBb0TMzMjh5RwI6asYVi4e-x-2GSX0BtAOc-Oc6eg/edit</t>
  </si>
  <si>
    <t>01.940.817/0001-02</t>
  </si>
  <si>
    <t>escolapedroalvarescabral@educacao.jaboatao.pe.gov.br</t>
  </si>
  <si>
    <t>Rua Nazareno, S/N</t>
  </si>
  <si>
    <t>54.150-230</t>
  </si>
  <si>
    <t>ALTO DA SANTA - SOCORRO</t>
  </si>
  <si>
    <t>26177510</t>
  </si>
  <si>
    <t>ESCOLA MUNICIPAL VEREADOR OTAVIO MIRANDA</t>
  </si>
  <si>
    <t>1_hooQAzj6Mb0UucgIicmNKBlhzEBxnl97AO0S1b7K7s</t>
  </si>
  <si>
    <t>https://docs.google.com/spreadsheets/d/1_hooQAzj6Mb0UucgIicmNKBlhzEBxnl97AO0S1b7K7s/edit</t>
  </si>
  <si>
    <t>08.061.492/0001-37</t>
  </si>
  <si>
    <t>escolaotaviomiranda@educacao.jaboatao.pe.gov.br</t>
  </si>
  <si>
    <t>Rua Henrique Maximino, S/N</t>
  </si>
  <si>
    <t>54.230-210</t>
  </si>
  <si>
    <t>UR 06 - IBURA</t>
  </si>
  <si>
    <t>REGIONAL 3</t>
  </si>
  <si>
    <t>26183374</t>
  </si>
  <si>
    <t>CEMEI EDVALDO SEVERIANO DE OLIVEIRA</t>
  </si>
  <si>
    <t>1HBknGIBVAJV8_QDHLvP4zoxGn0Jf4m3X1ONLglV_hKI</t>
  </si>
  <si>
    <t>https://docs.google.com/spreadsheets/d/1HBknGIBVAJV8_QDHLvP4zoxGn0Jf4m3X1ONLglV_hKI/edit</t>
  </si>
  <si>
    <t>23.826.814/0001-85</t>
  </si>
  <si>
    <t>cemeiedvaldooliveira@educacao.jaboatao.pe.gov.br</t>
  </si>
  <si>
    <t>Rua Machado de Assis, 196-A</t>
  </si>
  <si>
    <t>54.220-110</t>
  </si>
  <si>
    <t>CURADO II</t>
  </si>
  <si>
    <t>26156261</t>
  </si>
  <si>
    <t>CRECHE MUNDO ENCANTADO</t>
  </si>
  <si>
    <t>10gXEYduj1A-hyX0fq6YXuycIOqife1JJ0lI5GwuBg3g</t>
  </si>
  <si>
    <t>https://docs.google.com/spreadsheets/d/10gXEYduj1A-hyX0fq6YXuycIOqife1JJ0lI5GwuBg3g/edit</t>
  </si>
  <si>
    <t>11.158.027/0001-23</t>
  </si>
  <si>
    <t>crechemundoencantado@educacao.jaboatao.pe.gov.br</t>
  </si>
  <si>
    <t>Rua 02, Quadra 04</t>
  </si>
  <si>
    <t>54.340-490</t>
  </si>
  <si>
    <t>CURADO IV</t>
  </si>
  <si>
    <t>CURADO</t>
  </si>
  <si>
    <t>26110326</t>
  </si>
  <si>
    <t>ESCOLA MUNICIPAL CECILIA BRANDAO</t>
  </si>
  <si>
    <t>1s8hDp8qmGImwTZs8ankOG2573Yk3tparwSinghHM2WE</t>
  </si>
  <si>
    <t>https://docs.google.com/spreadsheets/d/1s8hDp8qmGImwTZs8ankOG2573Yk3tparwSinghHM2WE/edit</t>
  </si>
  <si>
    <t>01.940.696/0001-07</t>
  </si>
  <si>
    <t>escolaceciliabrandao@educacao.jaboatao.pe.gov.br</t>
  </si>
  <si>
    <t>Av. 08, 22 , 22</t>
  </si>
  <si>
    <t>54.270-070</t>
  </si>
  <si>
    <t>26167301</t>
  </si>
  <si>
    <t>ESCOLA MUNICIPAL IRACI RODOVALHO</t>
  </si>
  <si>
    <t>1sFGy0CVHt0Nq9Zjr2AjQlcT9w0UBnWkH2nxE5LTYo-k</t>
  </si>
  <si>
    <t>https://docs.google.com/spreadsheets/d/1sFGy0CVHt0Nq9Zjr2AjQlcT9w0UBnWkH2nxE5LTYo-k/edit</t>
  </si>
  <si>
    <t>06.847.852/0001-03</t>
  </si>
  <si>
    <t>escolairacirodovalho@educacao.jaboatao.pe.gov.br</t>
  </si>
  <si>
    <t>Av. Leonardo da Vinci, S/N</t>
  </si>
  <si>
    <t>54.220-140</t>
  </si>
  <si>
    <t>26111080</t>
  </si>
  <si>
    <t>ESCOLA MUNICIPAL JOSEFA BATISTA DA SILVA</t>
  </si>
  <si>
    <t>1cu4pnDk_lXWLtVAayINcBat2yP00gfojVCzzH3BRybA</t>
  </si>
  <si>
    <t>https://docs.google.com/spreadsheets/d/1cu4pnDk_lXWLtVAayINcBat2yP00gfojVCzzH3BRybA/edit</t>
  </si>
  <si>
    <t>03.223.671/0001-00</t>
  </si>
  <si>
    <t>escolajosefabatistadasilva@educacao.jaboatao.pe.gov.br</t>
  </si>
  <si>
    <t>Lote Cova de Onça, s/n, sn</t>
  </si>
  <si>
    <t>54.220-530</t>
  </si>
  <si>
    <t>CURADO III</t>
  </si>
  <si>
    <t>26186306</t>
  </si>
  <si>
    <t>ESCOLA MUNICIPAL LENITA RIBEIRO DE CASTRO</t>
  </si>
  <si>
    <t>1WbmBXr3OBws4YfvvRKvwCcARPpvNkq1LA6z_INsD9pI</t>
  </si>
  <si>
    <t>https://docs.google.com/spreadsheets/d/1WbmBXr3OBws4YfvvRKvwCcARPpvNkq1LA6z_INsD9pI/edit</t>
  </si>
  <si>
    <t>26.788.642/0001-90</t>
  </si>
  <si>
    <t>escolaproflenita@educacao.jaboatao.pe.gov.br</t>
  </si>
  <si>
    <t>AV 01 , 103</t>
  </si>
  <si>
    <t>54.270-090</t>
  </si>
  <si>
    <t>26215209</t>
  </si>
  <si>
    <t>ESCOLA MUNICIPAL NAZETE VIEIRA DE LIMA</t>
  </si>
  <si>
    <t>1JlVTgYiwj5RSCzBUV3Wogqztj5nIK118yH8stC56DSI</t>
  </si>
  <si>
    <t>https://docs.google.com/spreadsheets/d/1JlVTgYiwj5RSCzBUV3Wogqztj5nIK118yH8stC56DSI/edit</t>
  </si>
  <si>
    <t>11.171.894/0001-07</t>
  </si>
  <si>
    <t>escolaprofessoranazetevieiradelima@educacao.jaboatao.pe.gov.br</t>
  </si>
  <si>
    <t>RUA SÃO JORGE , 197</t>
  </si>
  <si>
    <t>54.220-246</t>
  </si>
  <si>
    <t>26155028</t>
  </si>
  <si>
    <t>ESCOLA MUNICIPAL ORLANDO BRENO</t>
  </si>
  <si>
    <t>1D_4Aqjp4RAl_RJ7AKH_oeNeXQuzMRtewUbo7ye33vPw</t>
  </si>
  <si>
    <t>https://docs.google.com/spreadsheets/d/1D_4Aqjp4RAl_RJ7AKH_oeNeXQuzMRtewUbo7ye33vPw/edit</t>
  </si>
  <si>
    <t>04.405.271/0001-88</t>
  </si>
  <si>
    <t>escolaorlandobreno@educacao.jaboatao.pe.gov.br</t>
  </si>
  <si>
    <t>RUA MOSTARDA, 166</t>
  </si>
  <si>
    <t>54.240-605</t>
  </si>
  <si>
    <t>FLORIANO</t>
  </si>
  <si>
    <t>26108992</t>
  </si>
  <si>
    <t>ESCOLA MUNICIPAL PROFESSOR COSTA PINTO</t>
  </si>
  <si>
    <t>19QRVNHZ6TtMu8wanfxd0FE_K8y07GIXMyywiByFZKY8</t>
  </si>
  <si>
    <t>https://docs.google.com/spreadsheets/d/19QRVNHZ6TtMu8wanfxd0FE_K8y07GIXMyywiByFZKY8/edit</t>
  </si>
  <si>
    <t>03.593.516/0001-85</t>
  </si>
  <si>
    <t>escolaprofessorcostapinto@educacao.jaboatao.pe.gov.br</t>
  </si>
  <si>
    <t>Rua 15 , S/N</t>
  </si>
  <si>
    <t>54.270-120</t>
  </si>
  <si>
    <t>CURADOIV 3ª ETAPA</t>
  </si>
  <si>
    <t>26186071</t>
  </si>
  <si>
    <t>ESCOLA MUNICIPAL PROFESSORA MARIA JOSE BEZERRA</t>
  </si>
  <si>
    <t>18zE3qWgUrhAIo0-eGFfehBvK9rMrhA6hAHYMaPak2CM</t>
  </si>
  <si>
    <t>https://docs.google.com/spreadsheets/d/18zE3qWgUrhAIo0-eGFfehBvK9rMrhA6hAHYMaPak2CM/edit</t>
  </si>
  <si>
    <t>27.674.328/0001-40</t>
  </si>
  <si>
    <t>escolamariajosebezerra@educacao.jaboatao.pe.gov.br</t>
  </si>
  <si>
    <t>RUA RIVALDO FERREIRA, 1010, JABOATÃO D</t>
  </si>
  <si>
    <t>54.275-070</t>
  </si>
  <si>
    <t>CURADO V</t>
  </si>
  <si>
    <t>REGIONAL 4</t>
  </si>
  <si>
    <t>26156288</t>
  </si>
  <si>
    <t>CEMEI MARCOS FREIRE</t>
  </si>
  <si>
    <t>1RPa6JR977dmX-SEblypy8qdL98gIUtMK9M5s1GBK1Jg</t>
  </si>
  <si>
    <t>https://docs.google.com/spreadsheets/d/1RPa6JR977dmX-SEblypy8qdL98gIUtMK9M5s1GBK1Jg/edit</t>
  </si>
  <si>
    <t>11.197.288/0001-52</t>
  </si>
  <si>
    <t>crechemarcosfreire@educacao.jaboatao.pe.gov.br</t>
  </si>
  <si>
    <t>Av. barreto de menezes, s/n</t>
  </si>
  <si>
    <t>51.220-140</t>
  </si>
  <si>
    <t>MARCOS FREIRE</t>
  </si>
  <si>
    <t>26137690</t>
  </si>
  <si>
    <t>CEMEI PROFESSORA MARINALVA MARIA VICENTE</t>
  </si>
  <si>
    <t>1Nl_xicMsPoS4Dns2XU5HAnq0XQUuXI8Vb6X9dbc-8Jw</t>
  </si>
  <si>
    <t>https://docs.google.com/spreadsheets/d/1Nl_xicMsPoS4Dns2XU5HAnq0XQUuXI8Vb6X9dbc-8Jw/edit</t>
  </si>
  <si>
    <t>14.537.262/0001-02</t>
  </si>
  <si>
    <t>ceimarinalva@educacao.jaboatao.pe.gov.br</t>
  </si>
  <si>
    <t>Rua Rosa Mesquita, 31</t>
  </si>
  <si>
    <t>54.350-340</t>
  </si>
  <si>
    <t>CONJUNTO MURIBECA</t>
  </si>
  <si>
    <t>11111111</t>
  </si>
  <si>
    <t>CEMEI PROFESSORA ROSENILDA CORREIA OLIVEIRA</t>
  </si>
  <si>
    <t>1bf6ey2sB20flFPKoI5pbTwzKut_3J9AhzxKcuO1vqxw</t>
  </si>
  <si>
    <t>https://docs.google.com/spreadsheets/d/1bf6ey2sB20flFPKoI5pbTwzKut_3J9AhzxKcuO1vqxw/edit?gid=0#gid=0</t>
  </si>
  <si>
    <t>26158116</t>
  </si>
  <si>
    <t>ESCOLA MUNICIPAL ALBERTO LUIZ RUSSO</t>
  </si>
  <si>
    <t>1NN4ndG4a5jp2Vx97kI7YEFI8U_3OYHkyfgMUzKDb_9M</t>
  </si>
  <si>
    <t>https://docs.google.com/spreadsheets/d/1NN4ndG4a5jp2Vx97kI7YEFI8U_3OYHkyfgMUzKDb_9M/edit</t>
  </si>
  <si>
    <t>05.665.234/0001-71</t>
  </si>
  <si>
    <t>escolaalbertoluizrusso@educacao.jaboatao.pe.gov.br</t>
  </si>
  <si>
    <t>Av. Santa Helena, 325</t>
  </si>
  <si>
    <t>54.350-990</t>
  </si>
  <si>
    <t>JARDIM MURIBECA</t>
  </si>
  <si>
    <t>26145146</t>
  </si>
  <si>
    <t>ESCOLA MUNICIPAL ANA FARIAS DE SOUZA</t>
  </si>
  <si>
    <t>1QEaKnvSPvzSG0eSft4wvzcHaVGQ1BEp9P-whOBpyM3k</t>
  </si>
  <si>
    <t>https://docs.google.com/spreadsheets/d/1QEaKnvSPvzSG0eSft4wvzcHaVGQ1BEp9P-whOBpyM3k/edit</t>
  </si>
  <si>
    <t>02.568.586/0001-10</t>
  </si>
  <si>
    <t>escolaanafariasdesouza@educacao.jaboatao.pe.gov.br</t>
  </si>
  <si>
    <t>RUA TERRA NOVA, 334</t>
  </si>
  <si>
    <t>54.368-150</t>
  </si>
  <si>
    <t>26109344</t>
  </si>
  <si>
    <t>ESCOLA MUNICIPAL BARAO DE MURIBECA</t>
  </si>
  <si>
    <t>1GaMuMKm6gxJVbB3LEWDM8Q1j8lmcLCFNtkN9qTVlVGg</t>
  </si>
  <si>
    <t>https://docs.google.com/spreadsheets/d/1GaMuMKm6gxJVbB3LEWDM8Q1j8lmcLCFNtkN9qTVlVGg/edit</t>
  </si>
  <si>
    <t>01.938.962/0001-59</t>
  </si>
  <si>
    <t>escolabaraodemuribeca@educacao.jaboatao.pe.gov.br</t>
  </si>
  <si>
    <t>Rua do Rosário, s/n</t>
  </si>
  <si>
    <t>54.350-140</t>
  </si>
  <si>
    <t>26110920</t>
  </si>
  <si>
    <t>ESCOLA MUNICIPAL COMPOSITOR LUIZ GONZAGA</t>
  </si>
  <si>
    <t>1CKBdZhz9BsiF1Hhzng-GHny3mHxuixmNGnHSAU58xSs</t>
  </si>
  <si>
    <t>https://docs.google.com/spreadsheets/d/1CKBdZhz9BsiF1Hhzng-GHny3mHxuixmNGnHSAU58xSs/edit</t>
  </si>
  <si>
    <t>03.359.982/0001-09</t>
  </si>
  <si>
    <t>escolacompositorluizgonzaga@educacao.jaboatao.pe.gov.br</t>
  </si>
  <si>
    <t>Av. Barreto de Menezes , s/n, Conjunto Marcos Freire</t>
  </si>
  <si>
    <t>54.360-160</t>
  </si>
  <si>
    <t>MURIBECA II</t>
  </si>
  <si>
    <t>26183129</t>
  </si>
  <si>
    <t>ESCOLA MUNICIPAL ESTELITA MARIA MENDES</t>
  </si>
  <si>
    <t>16i-KaIpzItmdcXBgziEbkuoznRLqnkBQdTlLtzRbrgA</t>
  </si>
  <si>
    <t>https://docs.google.com/spreadsheets/d/16i-KaIpzItmdcXBgziEbkuoznRLqnkBQdTlLtzRbrgA/edit</t>
  </si>
  <si>
    <t>25.063.560/0001-16</t>
  </si>
  <si>
    <t>escolaestelitamendes@educacao.jaboatao.pe.gov.br</t>
  </si>
  <si>
    <t>Rua do Rosário</t>
  </si>
  <si>
    <t>54.350-000</t>
  </si>
  <si>
    <t>26111748</t>
  </si>
  <si>
    <t>ESCOLA MUNICIPAL MARIA FEIJO</t>
  </si>
  <si>
    <t>15Zmayd5NBMgZ-Sbm3r0Z06JPip27VamLNpeRsme60jY</t>
  </si>
  <si>
    <t>https://docs.google.com/spreadsheets/d/15Zmayd5NBMgZ-Sbm3r0Z06JPip27VamLNpeRsme60jY/edit</t>
  </si>
  <si>
    <t>03.205.089/0001-10</t>
  </si>
  <si>
    <t>escolamariafeijo@educacao.jaboatao.pe.gov.br</t>
  </si>
  <si>
    <t>Rua Rio Jaboatão, 77</t>
  </si>
  <si>
    <t>54.335-160</t>
  </si>
  <si>
    <t>26179563</t>
  </si>
  <si>
    <t>ESCOLA MUNICIPAL PROFESSORA TECLA TEIXEIRA DE ARRUDA</t>
  </si>
  <si>
    <t>14q3_I35-YjyiRAKUBNoE2ZogwrWancQF2zVKuyc8Z0A</t>
  </si>
  <si>
    <t>https://docs.google.com/spreadsheets/d/14q3_I35-YjyiRAKUBNoE2ZogwrWancQF2zVKuyc8Z0A/edit</t>
  </si>
  <si>
    <t>17.226.083/0001-34</t>
  </si>
  <si>
    <t>escolateclateixeiradearruda@educacao.jaboatao.pe.gov.br</t>
  </si>
  <si>
    <t>Av Barreto de Menezes</t>
  </si>
  <si>
    <t>26174715</t>
  </si>
  <si>
    <t>ESCOLA MUNICIPAL RURAL MARCELO LAFAYETTE</t>
  </si>
  <si>
    <t>105dEq5x2TnV6LEtSxeNhAe6QenY9fqxwRONcam-sv0o</t>
  </si>
  <si>
    <t>https://docs.google.com/spreadsheets/d/105dEq5x2TnV6LEtSxeNhAe6QenY9fqxwRONcam-sv0o/edit</t>
  </si>
  <si>
    <t>06.303.807/0001-80</t>
  </si>
  <si>
    <t>escolamarcelolafayette@educacao.jaboatao.pe.gov.br</t>
  </si>
  <si>
    <t>Avenida Carmen Chaves, 54</t>
  </si>
  <si>
    <t>54.353-200</t>
  </si>
  <si>
    <t>VILA DOS PALMARES</t>
  </si>
  <si>
    <t>26177587</t>
  </si>
  <si>
    <t>ESCOLA MUNICIPAL VALDEMIRO VIEIRA DE ALBUQUERQUE</t>
  </si>
  <si>
    <t>1-EnWrM4iHnkNZ1a0AtLrs2kn906IMVzwoXXXpzvbyCc</t>
  </si>
  <si>
    <t>https://docs.google.com/spreadsheets/d/1-EnWrM4iHnkNZ1a0AtLrs2kn906IMVzwoXXXpzvbyCc/edit</t>
  </si>
  <si>
    <t>07.816.056/0001-68</t>
  </si>
  <si>
    <t>escolavaldemirovieiradealbuquerque@educacao.jaboatao.pe.gov.br</t>
  </si>
  <si>
    <t>Av. Newton Carneiro Filho, 104</t>
  </si>
  <si>
    <t>54.350-730</t>
  </si>
  <si>
    <t>REGIONAL 5</t>
  </si>
  <si>
    <t>26191296</t>
  </si>
  <si>
    <t>CEMEI LINDOMAR DOMINGOS DA SILVA ANJOS</t>
  </si>
  <si>
    <t>1grFQmqqRzhE3JQz98_D3hUSqY8RHOc8Gqi536VvBfno</t>
  </si>
  <si>
    <t>https://docs.google.com/spreadsheets/d/1grFQmqqRzhE3JQz98_D3hUSqY8RHOc8Gqi536VvBfno/edit</t>
  </si>
  <si>
    <t>54.570.094/0001-63</t>
  </si>
  <si>
    <t>cemeiproflindomardomingos@educacao.jaboatao.pe.gov.br</t>
  </si>
  <si>
    <t>Rua das Heroínas</t>
  </si>
  <si>
    <t>54.330-842</t>
  </si>
  <si>
    <t>CAJUEIRO SECO</t>
  </si>
  <si>
    <t>26183838</t>
  </si>
  <si>
    <t>CEMEI PROFESSORA MARIA DE FATIMA DA SILVA</t>
  </si>
  <si>
    <t>1an1esyqjEGDzUgNt_Tro9LwB3Qi9_01Z9y7c8BxMgE0</t>
  </si>
  <si>
    <t>https://docs.google.com/spreadsheets/d/1an1esyqjEGDzUgNt_Tro9LwB3Qi9_01Z9y7c8BxMgE0/edit</t>
  </si>
  <si>
    <t>26.333.736/0001-75</t>
  </si>
  <si>
    <t>cemeimariadefatima@educacao.jaboatao.pe.gov.br</t>
  </si>
  <si>
    <t>Rua Itaituba</t>
  </si>
  <si>
    <t>54.340-220</t>
  </si>
  <si>
    <t>JARDIM PRAZERES</t>
  </si>
  <si>
    <t>26187060</t>
  </si>
  <si>
    <t>CEMEI PROFESSORA MARIA LUZIA RIO LIMA</t>
  </si>
  <si>
    <t>1YBGgghBIxELuC_m8tVQoglUb9qL3e_u847n-aQBgC-I</t>
  </si>
  <si>
    <t>https://docs.google.com/spreadsheets/d/1YBGgghBIxELuC_m8tVQoglUb9qL3e_u847n-aQBgC-I/edit</t>
  </si>
  <si>
    <t>31.173.145/0001-18</t>
  </si>
  <si>
    <t>cemeiluzialimafragoso@educacao.jaboatao.pe.gov.br</t>
  </si>
  <si>
    <t>RUA TUNCUNDUBA</t>
  </si>
  <si>
    <t>54.345-070</t>
  </si>
  <si>
    <t>COMPORTAS</t>
  </si>
  <si>
    <t>26186080</t>
  </si>
  <si>
    <t>CEMEI SILVIA MARIA DE OLIVEIRA</t>
  </si>
  <si>
    <t>1Xr6qW_wh0m5KY3tfS0zxvJI0xRB89COj2zoJyH-rvgI</t>
  </si>
  <si>
    <t>https://docs.google.com/spreadsheets/d/1Xr6qW_wh0m5KY3tfS0zxvJI0xRB89COj2zoJyH-rvgI/edit</t>
  </si>
  <si>
    <t>28.580.513/0001-38</t>
  </si>
  <si>
    <t>cemeisilviaoliveira@educacao.jaboatao.pe.gov.br</t>
  </si>
  <si>
    <t>AV.JOSE CAMARA VIEIRA , 379</t>
  </si>
  <si>
    <t>54.000-000</t>
  </si>
  <si>
    <t>SOTAVE</t>
  </si>
  <si>
    <t>26109689</t>
  </si>
  <si>
    <t>ESCOLA MUNICIPAL CHICO MENDES</t>
  </si>
  <si>
    <t>1SfMm6s-gUsxvpkbENZP7JznvCLFHeO2uXrNHzFy-_NM</t>
  </si>
  <si>
    <t>https://docs.google.com/spreadsheets/d/1SfMm6s-gUsxvpkbENZP7JznvCLFHeO2uXrNHzFy-_NM/edit</t>
  </si>
  <si>
    <t>01.937.674/0001-80</t>
  </si>
  <si>
    <t>escolachicomendes@educacao.jaboatao.pe.gov.br</t>
  </si>
  <si>
    <t>Rua João Paulo II, 353</t>
  </si>
  <si>
    <t>50.875-251</t>
  </si>
  <si>
    <t>NOVA DIVINÉIA</t>
  </si>
  <si>
    <t>26111659</t>
  </si>
  <si>
    <t>ESCOLA MUNICIPAL DIVINA PROVIDENCIA</t>
  </si>
  <si>
    <t>1bcqsXaK15GTbi-g1D5JKs0yxHyhU3cJqXDF24WMAHrw</t>
  </si>
  <si>
    <t>https://docs.google.com/spreadsheets/d/1bcqsXaK15GTbi-g1D5JKs0yxHyhU3cJqXDF24WMAHrw/edit</t>
  </si>
  <si>
    <t>03.355.395/0001-33</t>
  </si>
  <si>
    <t>escoladivinaprovidencia@educacao.jaboatao.pe.gov.br</t>
  </si>
  <si>
    <t>9ª Trav Dr. Júlio Maranhão, S/N</t>
  </si>
  <si>
    <t>54.325-622</t>
  </si>
  <si>
    <t>26174758</t>
  </si>
  <si>
    <t>ESCOLA MUNICIPAL DJACY GLICERIO</t>
  </si>
  <si>
    <t>1Y2WFETt_Xa-VRhD0lg32q2_aPEzydWvzBwQMpxLGWEc</t>
  </si>
  <si>
    <t>https://docs.google.com/spreadsheets/d/1Y2WFETt_Xa-VRhD0lg32q2_aPEzydWvzBwQMpxLGWEc/edit</t>
  </si>
  <si>
    <t>07.571.387/0001-85</t>
  </si>
  <si>
    <t>escoladjacyglicerio@educacao.jaboatao.pe.gov.br</t>
  </si>
  <si>
    <t>RUA SANTA HELENA, 192</t>
  </si>
  <si>
    <t>54.320-640</t>
  </si>
  <si>
    <t>26182246</t>
  </si>
  <si>
    <t>ESCOLA MUNICIPAL FRANCISCA ARAUJO DE SOUZA</t>
  </si>
  <si>
    <t>1_zBnzmq9k65tipARCBL0yE4E1ZBxc40L0ZXL3_I8JDc</t>
  </si>
  <si>
    <t>https://docs.google.com/spreadsheets/d/1_zBnzmq9k65tipARCBL0yE4E1ZBxc40L0ZXL3_I8JDc/edit</t>
  </si>
  <si>
    <t>19.375.050/0001-81</t>
  </si>
  <si>
    <t>escolafranciscaaraujo@educacao.jaboatao.pe.gov.br</t>
  </si>
  <si>
    <t>Rua Itaituba, s/n</t>
  </si>
  <si>
    <t>54.340-060</t>
  </si>
  <si>
    <t>26186101</t>
  </si>
  <si>
    <t>ESCOLA MUNICIPAL GIANE FREITAS DE LIMA</t>
  </si>
  <si>
    <t>1T5m0PsrZG5j9ozXnRgnVucJ31EMnDCfTbe2KUw9Nvpk</t>
  </si>
  <si>
    <t>https://docs.google.com/spreadsheets/d/1T5m0PsrZG5j9ozXnRgnVucJ31EMnDCfTbe2KUw9Nvpk/edit</t>
  </si>
  <si>
    <t>26.192.282/0001-60</t>
  </si>
  <si>
    <t>escolagianefreitas@educacao.jaboatao.pe.gov.br</t>
  </si>
  <si>
    <t>RUA SANTO ELIAS , 278</t>
  </si>
  <si>
    <t>54.330-230</t>
  </si>
  <si>
    <t>26109212</t>
  </si>
  <si>
    <t>ESCOLA MUNICIPAL LUIZ LUA GONZAGA</t>
  </si>
  <si>
    <t>1Re0TIDZFiwAOrWjLqW6mu14plPMy9nxJjqDotXuHUns</t>
  </si>
  <si>
    <t>https://docs.google.com/spreadsheets/d/1Re0TIDZFiwAOrWjLqW6mu14plPMy9nxJjqDotXuHUns/edit</t>
  </si>
  <si>
    <t>01.937.673/0001-35</t>
  </si>
  <si>
    <t>escolaluizluagonzaga@educacao.jaboatao.pe.gov.br</t>
  </si>
  <si>
    <t>Rua N. Srª Aparecida</t>
  </si>
  <si>
    <t>54.330-835</t>
  </si>
  <si>
    <t>26111543</t>
  </si>
  <si>
    <t>ESCOLA MUNICIPAL MARECHAL COSTA E SILVA</t>
  </si>
  <si>
    <t>1OkJZGXd19NvWPEZwzYlzS5MI3lt9QFYJu0UUySkRjes</t>
  </si>
  <si>
    <t>https://docs.google.com/spreadsheets/d/1OkJZGXd19NvWPEZwzYlzS5MI3lt9QFYJu0UUySkRjes/edit</t>
  </si>
  <si>
    <t>01.937.683/0001-70</t>
  </si>
  <si>
    <t>escolamarechalcostaesilva@educacao.jaboatao.pe.gov.br</t>
  </si>
  <si>
    <t>Rua Dr. Luiz regueira</t>
  </si>
  <si>
    <t>PRAZERES</t>
  </si>
  <si>
    <t>26108844</t>
  </si>
  <si>
    <t>ESCOLA MUNICIPAL NATIVIDADE SALDANHA</t>
  </si>
  <si>
    <t>1Me7_oCy_wuu0UOSbm11jaByWHuwwYTI4Tj9r_3bsrD0</t>
  </si>
  <si>
    <t>https://docs.google.com/spreadsheets/d/1Me7_oCy_wuu0UOSbm11jaByWHuwwYTI4Tj9r_3bsrD0/edit</t>
  </si>
  <si>
    <t>02.126.085/0001-84</t>
  </si>
  <si>
    <t>escolanatividadesaldanha@educacao.jaboatao.pe.gov.br</t>
  </si>
  <si>
    <t>Rua do Futuro</t>
  </si>
  <si>
    <t>54.330-825</t>
  </si>
  <si>
    <t>26111292</t>
  </si>
  <si>
    <t>ESCOLA MUNICIPAL NICEA CAHU</t>
  </si>
  <si>
    <t>1MDDSQRPRDtyeAG0SB8maV3wUyzipMUrzRKO4_3qM_cQ</t>
  </si>
  <si>
    <t>https://docs.google.com/spreadsheets/d/1MDDSQRPRDtyeAG0SB8maV3wUyzipMUrzRKO4_3qM_cQ/edit</t>
  </si>
  <si>
    <t>03.223.979/0001-55</t>
  </si>
  <si>
    <t>escolaniciacahu@educacao.jaboatao.pe.gov.br</t>
  </si>
  <si>
    <t>Sítio carpina</t>
  </si>
  <si>
    <t>54.345-190</t>
  </si>
  <si>
    <t>COMPORTA</t>
  </si>
  <si>
    <t>26111381</t>
  </si>
  <si>
    <t>ESCOLA MUNICIPAL NOSSA SENHORA APARECIDA</t>
  </si>
  <si>
    <t>1y1ybmqO59g0xsUZjywJRguq5a592oTuciI8dpjrX8ss</t>
  </si>
  <si>
    <t>https://docs.google.com/spreadsheets/d/1y1ybmqO59g0xsUZjywJRguq5a592oTuciI8dpjrX8ss/edit</t>
  </si>
  <si>
    <t>01.953.497/0001-25</t>
  </si>
  <si>
    <t>escolanossasenhoraaparecida@educacao.jaboatao.pe.gov.br</t>
  </si>
  <si>
    <t xml:space="preserve">RURAL </t>
  </si>
  <si>
    <t>Rua dos Pilões, 43</t>
  </si>
  <si>
    <t>54.345-105</t>
  </si>
  <si>
    <t>26108763</t>
  </si>
  <si>
    <t>ESCOLA MUNICIPAL NOSSA SENHORA DO CARMO</t>
  </si>
  <si>
    <t>1M4qLWLdYuPaTeuvAx-G9A6wVTU2fgt_AlXFmRsnrGxQ</t>
  </si>
  <si>
    <t>https://docs.google.com/spreadsheets/d/1M4qLWLdYuPaTeuvAx-G9A6wVTU2fgt_AlXFmRsnrGxQ/edit</t>
  </si>
  <si>
    <t>03.231.618/0001-50</t>
  </si>
  <si>
    <t>escolanossasenhoradocarmo@educacao.jaboatao.pe.gov.br</t>
  </si>
  <si>
    <t>Rua Frei Caneca, 42</t>
  </si>
  <si>
    <t>54.330-290</t>
  </si>
  <si>
    <t>26111152</t>
  </si>
  <si>
    <t>ESCOLA MUNICIPAL NOVA DIVINEA</t>
  </si>
  <si>
    <t>1IlYYmVuxvBvhmj9IIh0UySeRhsT5doa_zuuL3LzQQ9w</t>
  </si>
  <si>
    <t>https://docs.google.com/spreadsheets/d/1IlYYmVuxvBvhmj9IIh0UySeRhsT5doa_zuuL3LzQQ9w/edit</t>
  </si>
  <si>
    <t>03.352.087/0001-54</t>
  </si>
  <si>
    <t>escolanovadivinea@educacao.jaboatao.pe.gov.br</t>
  </si>
  <si>
    <t>Rua da Saudade , 65</t>
  </si>
  <si>
    <t>54.330-390</t>
  </si>
  <si>
    <t>26109298</t>
  </si>
  <si>
    <t>ESCOLA MUNICIPAL PAULO MENELAU</t>
  </si>
  <si>
    <t>1HXaoTH-PKjGN4K3omaNZnV26xMARmI9eMi9FQgB2-Uw</t>
  </si>
  <si>
    <t>https://docs.google.com/spreadsheets/d/1HXaoTH-PKjGN4K3omaNZnV26xMARmI9eMi9FQgB2-Uw/edit</t>
  </si>
  <si>
    <t>01.937.787/0001-85</t>
  </si>
  <si>
    <t>escolapaulomenelau@educacao.jaboatao.pe.gov.br</t>
  </si>
  <si>
    <t>Rua. Sete de setembro , s/n</t>
  </si>
  <si>
    <t>54.340-430</t>
  </si>
  <si>
    <t>VILA SOTAVE</t>
  </si>
  <si>
    <t>26109581</t>
  </si>
  <si>
    <t>ESCOLA MUNICIPAL POETA CASTRO ALVES</t>
  </si>
  <si>
    <t>1-SoE2_GsmPC-nk6hYJ8gSHnal5ZIj0GL6lJeV3rDOU8</t>
  </si>
  <si>
    <t>https://docs.google.com/spreadsheets/d/1-SoE2_GsmPC-nk6hYJ8gSHnal5ZIj0GL6lJeV3rDOU8/edit</t>
  </si>
  <si>
    <t>03.202.609/0001-31</t>
  </si>
  <si>
    <t>escolacastroalves@educacao.jaboatao.pe.gov.br</t>
  </si>
  <si>
    <t>RUA ITAITUBA, SNº</t>
  </si>
  <si>
    <t>26147610</t>
  </si>
  <si>
    <t>ESCOLA MUNICIPAL POETISA FRANCISCA IZIDORA</t>
  </si>
  <si>
    <t>1nkw2LrqLerxk-bLDuPe5v-Q8hPbGam_i9A9mP82Axs8</t>
  </si>
  <si>
    <t>https://docs.google.com/spreadsheets/d/1nkw2LrqLerxk-bLDuPe5v-Q8hPbGam_i9A9mP82Axs8/edit</t>
  </si>
  <si>
    <t>03.216.712/0001-30</t>
  </si>
  <si>
    <t>escolapoetisafranciscaizidora@educacao.jaboatao.pe.gov.br</t>
  </si>
  <si>
    <t>Rua das Heroínas, 50</t>
  </si>
  <si>
    <t>54.380-000</t>
  </si>
  <si>
    <t>26171457</t>
  </si>
  <si>
    <t>ESCOLA MUNICIPAL PORTO DA CIDADANIA</t>
  </si>
  <si>
    <t>1hx7sNYGGv3rC55ygsdhwhZulTCWqTepRGwNpGwL4lps</t>
  </si>
  <si>
    <t>https://docs.google.com/spreadsheets/d/1hx7sNYGGv3rC55ygsdhwhZulTCWqTepRGwNpGwL4lps/edit</t>
  </si>
  <si>
    <t>07.557.399/0001-55</t>
  </si>
  <si>
    <t>escolaportodacidadania@educacao.jaboatao.pe.gov.br</t>
  </si>
  <si>
    <t>RUA LAGOA DO NAUTICO, 38</t>
  </si>
  <si>
    <t>54.340-000</t>
  </si>
  <si>
    <t>LAGOA DAS GARÇAS</t>
  </si>
  <si>
    <t>26111233</t>
  </si>
  <si>
    <t>ESCOLA MUNICIPAL PROFª CANDIDA DE ANDRADE MACIEL</t>
  </si>
  <si>
    <t>18EUIOBAJhrU8qUqKyspp8ere_8UIgLUxs5GYrd9hJIo</t>
  </si>
  <si>
    <t>https://docs.google.com/spreadsheets/d/18EUIOBAJhrU8qUqKyspp8ere_8UIgLUxs5GYrd9hJIo/edit</t>
  </si>
  <si>
    <t>04.762.674/0001-84</t>
  </si>
  <si>
    <t>escolacandidadeandrademaciel@educacao.jaboatao.pe.gov.br</t>
  </si>
  <si>
    <t>Av. Santo Elias</t>
  </si>
  <si>
    <t>54.330-540</t>
  </si>
  <si>
    <t>26109794</t>
  </si>
  <si>
    <t>ESCOLA MUNICIPAL RURAL PROFESSOR AUGUSTO DE CASTRO</t>
  </si>
  <si>
    <t>1gSBsqiuD1SBV-Fw6SViuoLNDAcFhTb8z86R52jbX0Gg</t>
  </si>
  <si>
    <t>https://docs.google.com/spreadsheets/d/1gSBsqiuD1SBV-Fw6SViuoLNDAcFhTb8z86R52jbX0Gg/edit</t>
  </si>
  <si>
    <t>01.934.018/0001-23</t>
  </si>
  <si>
    <t>escolaprofessoraugustodecastro@educacao.jaboatao.pe.gov.br</t>
  </si>
  <si>
    <t>Rua Engº Bartolomeu, S/N</t>
  </si>
  <si>
    <t>54.345-625</t>
  </si>
  <si>
    <t>26109891</t>
  </si>
  <si>
    <t>ESCOLA MUNICIPAL VANIA LARANJEIRA</t>
  </si>
  <si>
    <t>1dcZPOdojCR82JqcyFjm6YdnWVcXVh3Q6YP05fPJBTHo</t>
  </si>
  <si>
    <t>https://docs.google.com/spreadsheets/d/1dcZPOdojCR82JqcyFjm6YdnWVcXVh3Q6YP05fPJBTHo/edit</t>
  </si>
  <si>
    <t>01.939.095/0001-76</t>
  </si>
  <si>
    <t>escolavanialaranjeira@educacao.jaboatao.pe.gov.br</t>
  </si>
  <si>
    <t>Rua José Ferreira magalhães, S/N, TERMINAL DE CAJUEIRO SECO</t>
  </si>
  <si>
    <t>54.330-315</t>
  </si>
  <si>
    <t>REGIONAL 6</t>
  </si>
  <si>
    <t>26191300</t>
  </si>
  <si>
    <t>CEMEI LIGIA DE ARAUJO DE OLIVEIRA</t>
  </si>
  <si>
    <t>1yaAU3Gdb2v8h45PSxbWZDT_SX1SQKiBVwX6abSHOMX8</t>
  </si>
  <si>
    <t>https://docs.google.com/spreadsheets/d/1yaAU3Gdb2v8h45PSxbWZDT_SX1SQKiBVwX6abSHOMX8/edit</t>
  </si>
  <si>
    <t>51.145.178/0001-61</t>
  </si>
  <si>
    <t>cemeiligiaaraujodeoliveira@educacao.jaboatao.pe.gov.br</t>
  </si>
  <si>
    <t>Rua Joinville</t>
  </si>
  <si>
    <t>54.470-131</t>
  </si>
  <si>
    <t>BARRA DE JANGADA</t>
  </si>
  <si>
    <t>26137739</t>
  </si>
  <si>
    <t>CEMEI PROF SIMONE PATRICIA FERREIRA DA SILVA</t>
  </si>
  <si>
    <t>1t84eibU921dPw-mzz6SfjudYKOV9fs1J21kL70fAIP8</t>
  </si>
  <si>
    <t>https://docs.google.com/spreadsheets/d/1t84eibU921dPw-mzz6SfjudYKOV9fs1J21kL70fAIP8/edit</t>
  </si>
  <si>
    <t>16.806.300/0001-00</t>
  </si>
  <si>
    <t>ceibarradejangada@educacao.jaboatao.pe.gov.br</t>
  </si>
  <si>
    <t>Rua Caxias do Sul, 398</t>
  </si>
  <si>
    <t>54.470-030</t>
  </si>
  <si>
    <t>26187078</t>
  </si>
  <si>
    <t>CEMEI PROFESSORA MARLUCIA EVANGELISTA DE SOUZA</t>
  </si>
  <si>
    <t>1plxAg5Iwx16SpEFVQmW2dLC31GqPRAzRpjeJG3W1EMk</t>
  </si>
  <si>
    <t>https://docs.google.com/spreadsheets/d/1plxAg5Iwx16SpEFVQmW2dLC31GqPRAzRpjeJG3W1EMk/edit</t>
  </si>
  <si>
    <t>27.507.665/0001-42</t>
  </si>
  <si>
    <t>cemeimarlucia@educacao.jaboatao.pe.gov.br</t>
  </si>
  <si>
    <t>Rua Catanduvas, 53</t>
  </si>
  <si>
    <t>54.495-180</t>
  </si>
  <si>
    <t>CURCURANA</t>
  </si>
  <si>
    <t>26192420</t>
  </si>
  <si>
    <t>CEMEI RAKELLY NOGUEIRA DO NASCIMENTO</t>
  </si>
  <si>
    <t>1k5YnUvaI-0ZuFq4jlWB8cKUhHLAtiIBWFTA1thosQq8</t>
  </si>
  <si>
    <t>https://docs.google.com/spreadsheets/d/1k5YnUvaI-0ZuFq4jlWB8cKUhHLAtiIBWFTA1thosQq8/edit</t>
  </si>
  <si>
    <t>52.024.044/0001-55</t>
  </si>
  <si>
    <t>cemeirakellynogueira@educacao.jaboatao.pe.gov.br</t>
  </si>
  <si>
    <t>Rua Feliz</t>
  </si>
  <si>
    <t>54.470-120</t>
  </si>
  <si>
    <t>26108577</t>
  </si>
  <si>
    <t>COLEGIO MUNICIPAL VISCONDE DE SUASSUNA</t>
  </si>
  <si>
    <t>1yTZYIb0h2vqD2-SyIdV5LywcT3oM9rFdDAz-FPraNl4</t>
  </si>
  <si>
    <t>https://docs.google.com/spreadsheets/d/1yTZYIb0h2vqD2-SyIdV5LywcT3oM9rFdDAz-FPraNl4/edit</t>
  </si>
  <si>
    <t>01.961.126/0001-95</t>
  </si>
  <si>
    <t>colegioviscondedesuassuna@educacao.jaboatao.pe.gov.br</t>
  </si>
  <si>
    <t>Rua Maria Rita Barradas, 701</t>
  </si>
  <si>
    <t>54.400-045</t>
  </si>
  <si>
    <t>PIEDADE</t>
  </si>
  <si>
    <t>26187663</t>
  </si>
  <si>
    <t>CRECHE MERCIA DE ALBUQUERQUE</t>
  </si>
  <si>
    <t>1ZiuCxP70WGkopdQ14-qx-QMu7BOsGd5SPEgcX72OESY</t>
  </si>
  <si>
    <t>https://docs.google.com/spreadsheets/d/1ZiuCxP70WGkopdQ14-qx-QMu7BOsGd5SPEgcX72OESY/edit</t>
  </si>
  <si>
    <t>Não há CNPJ</t>
  </si>
  <si>
    <t>merciaalbuquerque@educacao.jaboatao.pe.gov.br</t>
  </si>
  <si>
    <t>Barra de Jangada</t>
  </si>
  <si>
    <t>54.460-110</t>
  </si>
  <si>
    <t>26109328</t>
  </si>
  <si>
    <t>ESCOLA MUNICIPAL ALMIRANTE TAMANDARE</t>
  </si>
  <si>
    <t>1_mHlp7gHcKmN-Nem5MrOM7bJnRzpioLA2jBpfwDjPrg</t>
  </si>
  <si>
    <t>https://docs.google.com/spreadsheets/d/1_mHlp7gHcKmN-Nem5MrOM7bJnRzpioLA2jBpfwDjPrg/edit</t>
  </si>
  <si>
    <t>01.954.818/0001-06</t>
  </si>
  <si>
    <t>escolaalmirantetamandare@educacao.jaboatao.pe.gov.br</t>
  </si>
  <si>
    <t>Rua Pitanga, 63</t>
  </si>
  <si>
    <t>54.470-580</t>
  </si>
  <si>
    <t>26111446</t>
  </si>
  <si>
    <t>ESCOLA MUNICIPAL ALUISIO DA CUNHA MORAIS</t>
  </si>
  <si>
    <t>1ZjGlZ5VKB4BLmRy3NlEguuiJwpr6nasWO0RvD8hdXe0</t>
  </si>
  <si>
    <t>https://docs.google.com/spreadsheets/d/1ZjGlZ5VKB4BLmRy3NlEguuiJwpr6nasWO0RvD8hdXe0/edit</t>
  </si>
  <si>
    <t>01.990.495/0001-06</t>
  </si>
  <si>
    <t>escolaaluisiodacunhamorais@educacao.jaboatao.pe.gov.br</t>
  </si>
  <si>
    <t>Rua da Soledade, 35</t>
  </si>
  <si>
    <t>54.325-160</t>
  </si>
  <si>
    <t>26111578</t>
  </si>
  <si>
    <t>ESCOLA MUNICIPAL DE TEMPO INTEGRAL NOSSA ESCOLA ANOS FINAIS</t>
  </si>
  <si>
    <t>1Y0B5G84zDai4ZYUa0QK2AYLefxJs6_ecMbM_t-oCoBY</t>
  </si>
  <si>
    <t>https://docs.google.com/spreadsheets/d/1Y0B5G84zDai4ZYUa0QK2AYLefxJs6_ecMbM_t-oCoBY/edit</t>
  </si>
  <si>
    <t>03.363.588/0001-36</t>
  </si>
  <si>
    <t>escolanossaescola@educacao.jaboatao.pe.gov.br</t>
  </si>
  <si>
    <t>Rua Manoel Felipe Santiago, 700</t>
  </si>
  <si>
    <t>54.430-090</t>
  </si>
  <si>
    <t>CANDEIAS</t>
  </si>
  <si>
    <t>26109476</t>
  </si>
  <si>
    <t>ESCOLA MUNICIPAL GALBA MATOS</t>
  </si>
  <si>
    <t>1QYehmCOgewjmMtZjuLmjQHaRIhkIJ8mID9JsCXDMKLo</t>
  </si>
  <si>
    <t>https://docs.google.com/spreadsheets/d/1QYehmCOgewjmMtZjuLmjQHaRIhkIJ8mID9JsCXDMKLo/edit</t>
  </si>
  <si>
    <t>03.262.677/0001-96</t>
  </si>
  <si>
    <t>escolagalbamatos@educacao.jaboatao.pe.gov.br</t>
  </si>
  <si>
    <t>Rua das Carolinas, 300</t>
  </si>
  <si>
    <t>54.430-000</t>
  </si>
  <si>
    <t>26155036</t>
  </si>
  <si>
    <t>ESCOLA MUNICIPAL JOSE RODOVALHO</t>
  </si>
  <si>
    <t>1PrH2uFzZAqG_rGEkYbgkY4u4L5VFbDQIaHBmxf_7Zu8</t>
  </si>
  <si>
    <t>https://docs.google.com/spreadsheets/d/1PrH2uFzZAqG_rGEkYbgkY4u4L5VFbDQIaHBmxf_7Zu8/edit</t>
  </si>
  <si>
    <t>04.450.432/0001-55</t>
  </si>
  <si>
    <t>escolajoserodovalho@educacao.jaboatao.pe.gov.br</t>
  </si>
  <si>
    <t>Rua Jose Maia Bezerra , S/N</t>
  </si>
  <si>
    <t>54.430-282</t>
  </si>
  <si>
    <t>26155044</t>
  </si>
  <si>
    <t>ESCOLA MUNICIPAL NINA DE OLIVEIRA</t>
  </si>
  <si>
    <t>1IiiV8BwlZ8yIIrYJ5Ii42C5xGO1qtxcsRGf4K0Q0AW8</t>
  </si>
  <si>
    <t>https://docs.google.com/spreadsheets/d/1IiiV8BwlZ8yIIrYJ5Ii42C5xGO1qtxcsRGf4K0Q0AW8/edit</t>
  </si>
  <si>
    <t>04.451.121/0001-00</t>
  </si>
  <si>
    <t>escolaninadeoliveira@educacao.jaboatao.pe.gov.br</t>
  </si>
  <si>
    <t>Rua Porto Alegre , 130</t>
  </si>
  <si>
    <t>54.460-040</t>
  </si>
  <si>
    <t>26109220</t>
  </si>
  <si>
    <t>ESCOLA MUNICIPAL NOSSA SENHORA DO LORETO</t>
  </si>
  <si>
    <t>1DhrCuSYlz5ithxqBrtX8-553lYVcKvbpw6oCCDWfpqk</t>
  </si>
  <si>
    <t>https://docs.google.com/spreadsheets/d/1DhrCuSYlz5ithxqBrtX8-553lYVcKvbpw6oCCDWfpqk/edit</t>
  </si>
  <si>
    <t>12.058.627/0001-82</t>
  </si>
  <si>
    <t>escolanossasenhoradoloreto@educacao.jaboatao.pe.gov.br</t>
  </si>
  <si>
    <t>RUA ARAO LINS DE ANDRADE, 380</t>
  </si>
  <si>
    <t>54.400-200</t>
  </si>
  <si>
    <t>26174731</t>
  </si>
  <si>
    <t>ESCOLA MUNICIPAL NOVO HORIZONTE</t>
  </si>
  <si>
    <t>19OqzWiegoX57X7CHyBgx4LTzWdTjERss_e-f2MpfxG4</t>
  </si>
  <si>
    <t>https://docs.google.com/spreadsheets/d/19OqzWiegoX57X7CHyBgx4LTzWdTjERss_e-f2MpfxG4/edit</t>
  </si>
  <si>
    <t>07.065.503/0001-94</t>
  </si>
  <si>
    <t>escolanovohorizonte@educacao.jaboatao.pe.gov.br</t>
  </si>
  <si>
    <t>Rua da União, 1325</t>
  </si>
  <si>
    <t>54.460-555</t>
  </si>
  <si>
    <t>26110822</t>
  </si>
  <si>
    <t>ESCOLA MUNICIPAL OSCAR MOURA</t>
  </si>
  <si>
    <t>18YWb8p10dgo-mtUFVKjPVUX46gmLu93hlt07OQO2Dkc</t>
  </si>
  <si>
    <t>https://docs.google.com/spreadsheets/d/18YWb8p10dgo-mtUFVKjPVUX46gmLu93hlt07OQO2Dkc/edit</t>
  </si>
  <si>
    <t>01.943.607/0001-78</t>
  </si>
  <si>
    <t>escolaoscarmoura@educacao.jaboatao.pe.gov.br</t>
  </si>
  <si>
    <t>Rua José Braz Moscou, SN</t>
  </si>
  <si>
    <t>54.400-020</t>
  </si>
  <si>
    <t>26111179</t>
  </si>
  <si>
    <t>ESCOLA MUNICIPAL PAULINO MENELAU</t>
  </si>
  <si>
    <t>17sWiMWCIVk6w6oojE3YL7RmzLDi_FuHOD_g2-JosTTQ</t>
  </si>
  <si>
    <t>https://docs.google.com/spreadsheets/d/17sWiMWCIVk6w6oojE3YL7RmzLDi_FuHOD_g2-JosTTQ/edit</t>
  </si>
  <si>
    <t>01.961.688/0001-39</t>
  </si>
  <si>
    <t>escolapaulinomenelau@educacao.jaboatao.pe.gov.br</t>
  </si>
  <si>
    <t>Av. Comercial , s/n</t>
  </si>
  <si>
    <t>54.410-031</t>
  </si>
  <si>
    <t>26137755</t>
  </si>
  <si>
    <t>ESCOLA MUNICIPAL PROFESSOR ALMIR OLIMPIO ALVES</t>
  </si>
  <si>
    <t>17K8NXHT7JP2rgzdyz4_UwSrHIEQiOq27n74ExAPO_al</t>
  </si>
  <si>
    <t>https://docs.google.com/spreadsheets/d/17K8NXHT7JP2rgzdyz4_UwSrHIEQiOq27n74ExAPO_aI/edit?gid=1190714847#gid=1190714847</t>
  </si>
  <si>
    <t>16.637.439/0001-60</t>
  </si>
  <si>
    <t>escolaprofalmirolimpioalves@educacao.jaboatao.pe.gov.br</t>
  </si>
  <si>
    <t>Rua Aracatu, 17</t>
  </si>
  <si>
    <t>54.410-470</t>
  </si>
  <si>
    <t>26183110</t>
  </si>
  <si>
    <t>ESCOLA MUNICIPAL PROFESSOR CARLOS JOSE RIBEIRO JUNIOR</t>
  </si>
  <si>
    <t>16goLxYED-TrwFYjVIM0OuoPrIzICp5yAbFIT1ltKS5s</t>
  </si>
  <si>
    <t>https://docs.google.com/spreadsheets/d/16goLxYED-TrwFYjVIM0OuoPrIzICp5yAbFIT1ltKS5s/edit</t>
  </si>
  <si>
    <t>22.477.388/0001-59</t>
  </si>
  <si>
    <t>Rua São Sebastião, 1274</t>
  </si>
  <si>
    <t>54.410-500</t>
  </si>
  <si>
    <t>JARDIM PIEDADE</t>
  </si>
  <si>
    <t>26188155</t>
  </si>
  <si>
    <t>ESCOLA MUNICIPAL PROFESSOR SILVIO ROMERO VIEIRA</t>
  </si>
  <si>
    <t>16aB2C_eN9rR308ClY8Nr-dasZ6aqJmJNJSamhS0kSJA</t>
  </si>
  <si>
    <t>https://docs.google.com/spreadsheets/d/16aB2C_eN9rR308ClY8Nr-dasZ6aqJmJNJSamhS0kSJA/edit</t>
  </si>
  <si>
    <t>32.749.936/0001-06</t>
  </si>
  <si>
    <t>silvioromerovieira@educacao.jaboatao.pe.gov.br</t>
  </si>
  <si>
    <t>Rua Caracol, 161</t>
  </si>
  <si>
    <t>54.430-180</t>
  </si>
  <si>
    <t>26179571</t>
  </si>
  <si>
    <t>ESCOLA MUNICIPAL PROFESSORA MARIZIA DOS SANTOS MELO</t>
  </si>
  <si>
    <t>1yQXEWKJYWQ4gYSEmxQDn4oIX-E4gTL9KyL0Qt6Z3-bg</t>
  </si>
  <si>
    <t>https://docs.google.com/spreadsheets/d/1yQXEWKJYWQ4gYSEmxQDn4oIX-E4gTL9KyL0Qt6Z3-bg/edit</t>
  </si>
  <si>
    <t>20.510.356/0001-82</t>
  </si>
  <si>
    <t>escolamariziadossantosmelo@educacao.jaboatao.pe.gov.br</t>
  </si>
  <si>
    <t>Rua Campo Grande, S/N, PROXIMO ao SHOPPING SUL</t>
  </si>
  <si>
    <t>54.430-100</t>
  </si>
  <si>
    <t>26177528</t>
  </si>
  <si>
    <t>ESCOLA MUNICIPAL PROFESSORA RAQUEL GOMES DO NASCIMENTO</t>
  </si>
  <si>
    <t>1wPoq3ZReFLyQCC0Rc2jNYRflhUwOxkQ9KAOI1C-2J3I</t>
  </si>
  <si>
    <t>https://docs.google.com/spreadsheets/d/1wPoq3ZReFLyQCC0Rc2jNYRflhUwOxkQ9KAOI1C-2J3I/edit</t>
  </si>
  <si>
    <t>07.456.824/0001-10</t>
  </si>
  <si>
    <t>escolaprofessoraraquelgomesdonascimento@educacao.jaboatao.pe.gov.br</t>
  </si>
  <si>
    <t>Rua Canto Livre, 55</t>
  </si>
  <si>
    <t>54.460-385</t>
  </si>
  <si>
    <t>26186098</t>
  </si>
  <si>
    <t>ESCOLA MUNICIPAL SALVIO SANTOS FARIAS</t>
  </si>
  <si>
    <t>1sU-HOcwgde49RcFQVMiFTzfayaYXuAqqan5s1AU8YxE</t>
  </si>
  <si>
    <t>https://docs.google.com/spreadsheets/d/1sU-HOcwgde49RcFQVMiFTzfayaYXuAqqan5s1AU8YxE/edit</t>
  </si>
  <si>
    <t>28.206.422/0001-37</t>
  </si>
  <si>
    <t>escolasalviosantos@educacao.jaboatao.pe.gov.br</t>
  </si>
  <si>
    <t>RUA CAMPO GRANDE, 389</t>
  </si>
  <si>
    <t>54.460-120</t>
  </si>
  <si>
    <t>26178036</t>
  </si>
  <si>
    <t>ESCOLA MUNICIPAL SANTA EDWIRGES</t>
  </si>
  <si>
    <t>1rCQxmx0My2AnvxqPPK-JbU8nXEqCIA8E66lZf5tCz4c</t>
  </si>
  <si>
    <t>https://docs.google.com/spreadsheets/d/1rCQxmx0My2AnvxqPPK-JbU8nXEqCIA8E66lZf5tCz4c/edit</t>
  </si>
  <si>
    <t>08.430.052/0001-00</t>
  </si>
  <si>
    <t>escolasantaedwirges@educacao.jaboatao.pe.gov.br</t>
  </si>
  <si>
    <t>3ª Travessa Alexandre Baracho, 25</t>
  </si>
  <si>
    <t>54.430-230</t>
  </si>
  <si>
    <t>26111330</t>
  </si>
  <si>
    <t>ESCOLA MUNICIPAL SANTA TEREZA DE AVILA</t>
  </si>
  <si>
    <t>1qlx7rH9Va8IeDK7GK1tabf7-yjZKRpgW8gwsRGqWchw</t>
  </si>
  <si>
    <t>https://docs.google.com/spreadsheets/d/1qlx7rH9Va8IeDK7GK1tabf7-yjZKRpgW8gwsRGqWchw/edit</t>
  </si>
  <si>
    <t>01.937.776/0001-03</t>
  </si>
  <si>
    <t>escolastaterezadeavila@educacao.jaboatao.pe.gov.br</t>
  </si>
  <si>
    <t>Av. Comercial, S/N</t>
  </si>
  <si>
    <t>54.430-231</t>
  </si>
  <si>
    <t>26174740</t>
  </si>
  <si>
    <t>ESCOLA MUNICIPAL UBALDINO FIGUEIROA</t>
  </si>
  <si>
    <t>1pGg9rQXZ2AN3shayGD3dCX7pd4G2O79RKgsK3MM8Hgc</t>
  </si>
  <si>
    <t>https://docs.google.com/spreadsheets/d/1pGg9rQXZ2AN3shayGD3dCX7pd4G2O79RKgsK3MM8Hgc/edit</t>
  </si>
  <si>
    <t>07.524.497/0001-96</t>
  </si>
  <si>
    <t>escolaubaldinofigueiroa@educacao.jaboatao.pe.gov.br</t>
  </si>
  <si>
    <t>Rua Hermano Barros e Silva, 1133</t>
  </si>
  <si>
    <t>54.430-080</t>
  </si>
  <si>
    <t>26109905</t>
  </si>
  <si>
    <t>ESCOLA MUNICIPAL VIDAL DE NEGREIROS</t>
  </si>
  <si>
    <t>1nzJG6sxqZoYkn3nR2cbIND8qc8_Luzwqem0Ipzdeo1Q</t>
  </si>
  <si>
    <t>https://docs.google.com/spreadsheets/d/1nzJG6sxqZoYkn3nR2cbIND8qc8_Luzwqem0Ipzdeo1Q/edit</t>
  </si>
  <si>
    <t>01.954.631/0001-02</t>
  </si>
  <si>
    <t>escolavidaldenegreiros@educacao.jaboatao.pe.gov.br</t>
  </si>
  <si>
    <t>Rua Sucupira do Norte, 280</t>
  </si>
  <si>
    <t>54.440-359</t>
  </si>
  <si>
    <t>26171546</t>
  </si>
  <si>
    <t>ESCOLA MUNICIPAL WALFRIDO COELHO</t>
  </si>
  <si>
    <t>1lUxJLpFmxWDmyqzmFU2HvJAm229xgFtfMjYvegtv8ds</t>
  </si>
  <si>
    <t>https://docs.google.com/spreadsheets/d/1lUxJLpFmxWDmyqzmFU2HvJAm229xgFtfMjYvegtv8ds/edit</t>
  </si>
  <si>
    <t>06.278.970/0001-30</t>
  </si>
  <si>
    <t>escolawalfridocoelho@educacao.jaboatao.pe.gov.br</t>
  </si>
  <si>
    <t>54.340-590</t>
  </si>
  <si>
    <t>REGIONAL 7</t>
  </si>
  <si>
    <t>26193078</t>
  </si>
  <si>
    <t>CEMEI CIBELE DE ANDRADE MENDES DE AZEVEDO</t>
  </si>
  <si>
    <t>1kd1jLIHgsdaj7kFXeHDbK0_IadyqPhVGqFi4EzI6ngw</t>
  </si>
  <si>
    <t>https://docs.google.com/spreadsheets/d/1kd1jLIHgsdaj7kFXeHDbK0_IadyqPhVGqFi4EzI6ngw/edit</t>
  </si>
  <si>
    <t>62.220.005/0001-87</t>
  </si>
  <si>
    <t>cemeicibeledeandrade@educacao.jaboatao.pe.gov.br</t>
  </si>
  <si>
    <t>Avenida dos Guararapes, 1483</t>
  </si>
  <si>
    <t>54.325-012</t>
  </si>
  <si>
    <t>26194643</t>
  </si>
  <si>
    <t>CEMEI DR PAULO MENDES</t>
  </si>
  <si>
    <t>1EEQHCu_bbotwyTFHJagO1iQ5iiUyRX_64SVsfPuixqU</t>
  </si>
  <si>
    <t>https://docs.google.com/spreadsheets/d/1EEQHCu_bbotwyTFHJagO1iQ5iiUyRX_64SVsfPuixqU/edit</t>
  </si>
  <si>
    <t>cemeidrpaulomendes@educacao.jaboatao.pe.gov.br</t>
  </si>
  <si>
    <t>Avenida General Manoel Rabelo</t>
  </si>
  <si>
    <t>26109255</t>
  </si>
  <si>
    <t>CEMEI ELIEL EUSTAQUIO DA SILVA</t>
  </si>
  <si>
    <t>1DBzgIWtqJGXm9OlOHW20tNmD7uDnsJgQvOqDCaOhgZg</t>
  </si>
  <si>
    <t>https://docs.google.com/spreadsheets/d/1DBzgIWtqJGXm9OlOHW20tNmD7uDnsJgQvOqDCaOhgZg/edit</t>
  </si>
  <si>
    <t>11.113.645/0001-57</t>
  </si>
  <si>
    <t>escolaelieleustaquiodasilva@educacao.jaboatao.pe.gov.br</t>
  </si>
  <si>
    <t>Rua São Bento, 1244</t>
  </si>
  <si>
    <t>54.320-050</t>
  </si>
  <si>
    <t>JARDIM JORDÃO</t>
  </si>
  <si>
    <t>26109530</t>
  </si>
  <si>
    <t>CEMEI JOAO FERNANDES VIEIRA</t>
  </si>
  <si>
    <t>1iP7CMwAX4KvLJb86c-JuJBflMuUsE9F61IeIT7qqSLA</t>
  </si>
  <si>
    <t>https://docs.google.com/spreadsheets/d/1iP7CMwAX4KvLJb86c-JuJBflMuUsE9F61IeIT7qqSLA/edit</t>
  </si>
  <si>
    <t>01.949.982/0001-25</t>
  </si>
  <si>
    <t>escolajoaofernandesvieira@educacao.jaboatao.pe.gov.br</t>
  </si>
  <si>
    <t>RUA SÃO BENTO, S/N</t>
  </si>
  <si>
    <t>26110547</t>
  </si>
  <si>
    <t>COLEGIO MUNICIPAL JABOATAO DOS GUARARAPES</t>
  </si>
  <si>
    <t>18jY4roe6su9GkO4v6qi3qpMHNXLiVYVlt4XxUdsJtOs</t>
  </si>
  <si>
    <t>https://docs.google.com/spreadsheets/d/18jY4roe6su9GkO4v6qi3qpMHNXLiVYVlt4XxUdsJtOs/edit</t>
  </si>
  <si>
    <t>01.940.800/0001-55</t>
  </si>
  <si>
    <t>colegiojaboataodosguararapes@educacao.jaboatao.pe.gov.br</t>
  </si>
  <si>
    <t>Rua Fábio Maranhão, S/N</t>
  </si>
  <si>
    <t>54.325-550</t>
  </si>
  <si>
    <t>RIO DAS VELHAS</t>
  </si>
  <si>
    <t>26189070</t>
  </si>
  <si>
    <t>CRECHE SILVIA CRISTINA SANTOS BOTELHO</t>
  </si>
  <si>
    <t>1CFjXBkEjTviyhNcn3jD_xFXcWC-5Chu7gtr2sujeKfw</t>
  </si>
  <si>
    <t>https://docs.google.com/spreadsheets/d/1CFjXBkEjTviyhNcn3jD_xFXcWC-5Chu7gtr2sujeKfw/edit</t>
  </si>
  <si>
    <t>34.440.880/0001-39</t>
  </si>
  <si>
    <t>crecheprofessorasilviabotelho@educacao.jaboatao.pe.gov.br</t>
  </si>
  <si>
    <t>RUA DAS FLORES , s/n</t>
  </si>
  <si>
    <t>54.340-790</t>
  </si>
  <si>
    <t>26133765</t>
  </si>
  <si>
    <t>ESCOLA MUNICIPAL BARTOLOMEU DE GUSMAO</t>
  </si>
  <si>
    <t>17eRhTSolGhyUhHi7FL9ku14ycapee660_tdJPmOKIsQ</t>
  </si>
  <si>
    <t>https://docs.google.com/spreadsheets/d/17eRhTSolGhyUhHi7FL9ku14ycapee660_tdJPmOKIsQ/edit</t>
  </si>
  <si>
    <t>66.313.201/0001-57</t>
  </si>
  <si>
    <t>escolabartolomeudegusmao@educacao.jaboatao.pe.gov.br</t>
  </si>
  <si>
    <t>Rua DONA MARIA DE SOUZA, S/N</t>
  </si>
  <si>
    <t>54.400-260</t>
  </si>
  <si>
    <t>26110911</t>
  </si>
  <si>
    <t>ESCOLA MUNICIPAL CLAUDIO AGRICIO</t>
  </si>
  <si>
    <t>1t9WO0tqQBLaRopAHAyzkxLM2a7c9FTcwO8LIyBimRKk</t>
  </si>
  <si>
    <t>https://docs.google.com/spreadsheets/d/1t9WO0tqQBLaRopAHAyzkxLM2a7c9FTcwO8LIyBimRKk/edit</t>
  </si>
  <si>
    <t>01.971.953/0001-60</t>
  </si>
  <si>
    <t>escolaclaudioagricio@educacao.jaboatao.pe.gov.br</t>
  </si>
  <si>
    <t>Rua Estrada Velha do Jordão, 1250</t>
  </si>
  <si>
    <t>54.320-315</t>
  </si>
  <si>
    <t>26133783</t>
  </si>
  <si>
    <t>ESCOLA MUNICIPAL DJALMA FARIAS</t>
  </si>
  <si>
    <t>1jtqo4H7RLNuCsuGE1UBiwPB9rIl1ylXZSfIviRSy5uU</t>
  </si>
  <si>
    <t>https://docs.google.com/spreadsheets/d/1jtqo4H7RLNuCsuGE1UBiwPB9rIl1ylXZSfIviRSy5uU/edit</t>
  </si>
  <si>
    <t>11.027.230/0001-60</t>
  </si>
  <si>
    <t>escoladjalmafarias@educacao.jaboatao.pe.gov.br</t>
  </si>
  <si>
    <t>RUA HERCLIANO PIRES, 581</t>
  </si>
  <si>
    <t>54.400-420</t>
  </si>
  <si>
    <t>26108895</t>
  </si>
  <si>
    <t>ESCOLA MUNICIPAL DOM BENO</t>
  </si>
  <si>
    <t>1hOj6VWokQiAIR7iApHiOA5I7pGvwrcPifGuAXPM90Oc</t>
  </si>
  <si>
    <t>https://docs.google.com/spreadsheets/d/1hOj6VWokQiAIR7iApHiOA5I7pGvwrcPifGuAXPM90Oc/edit</t>
  </si>
  <si>
    <t>01.952.728/0001-86</t>
  </si>
  <si>
    <t>escoladombeno@educacao.jaboatao.pe.gov.br</t>
  </si>
  <si>
    <t>Rua Ladeira da Igreja, 252</t>
  </si>
  <si>
    <t>54.315-310</t>
  </si>
  <si>
    <t>GUARARAPES</t>
  </si>
  <si>
    <t>26188120</t>
  </si>
  <si>
    <t>ESCOLA MUNICIPAL DOM CARLOS COELHO</t>
  </si>
  <si>
    <t>1U2mvZmlCnm2of5wXIhqMEwwxcEaE4cGtfHJxuVw1ao0</t>
  </si>
  <si>
    <t>https://docs.google.com/spreadsheets/d/1U2mvZmlCnm2of5wXIhqMEwwxcEaE4cGtfHJxuVw1ao0/edit</t>
  </si>
  <si>
    <t>33.545.568/0001-47</t>
  </si>
  <si>
    <t>domcarloscoelho@educacao.jaboatao.pe.gov.br</t>
  </si>
  <si>
    <t>AV. ALMIRANTE DIAS FERNANDES, 325</t>
  </si>
  <si>
    <t>54.310-600</t>
  </si>
  <si>
    <t>26109956</t>
  </si>
  <si>
    <t>ESCOLA MUNICIPAL HENRIQUE DIAS</t>
  </si>
  <si>
    <t>1IzoXdNvxjIN8IVt17FOc6sHAC5Kz6CHFroyIuJnWfno</t>
  </si>
  <si>
    <t>https://docs.google.com/spreadsheets/d/1IzoXdNvxjIN8IVt17FOc6sHAC5Kz6CHFroyIuJnWfno/edit</t>
  </si>
  <si>
    <t>01.931.769/0001-96</t>
  </si>
  <si>
    <t>escolahenriquedias@educacao.jaboatao.pe.gov.br</t>
  </si>
  <si>
    <t>Av. 04 de Outubro, S/N</t>
  </si>
  <si>
    <t>54.400-100</t>
  </si>
  <si>
    <t>MASSARANDUBA</t>
  </si>
  <si>
    <t>26109190</t>
  </si>
  <si>
    <t>ESCOLA MUNICIPAL JESUS DE NAZARE</t>
  </si>
  <si>
    <t>13ke3b4L_YC75lI9AIB7iUtB0CY3DFZzAJkBuB-uL4Bc</t>
  </si>
  <si>
    <t>https://docs.google.com/spreadsheets/d/13ke3b4L_YC75lI9AIB7iUtB0CY3DFZzAJkBuB-uL4Bc/edit</t>
  </si>
  <si>
    <t>05.218.587/0001-23</t>
  </si>
  <si>
    <t>escolajesusdenazare@educacao.jaboatao.pe.gov.br</t>
  </si>
  <si>
    <t>Avenida dos Guararapes, 1204/1206</t>
  </si>
  <si>
    <t>54.310-310</t>
  </si>
  <si>
    <t>26188147</t>
  </si>
  <si>
    <t>ESCOLA MUNICIPAL MARCONIEDSON RODRIGUES MOREIRA</t>
  </si>
  <si>
    <t>1hueDgmMxKT_BNS94lrFElCPfLiz1Xmd-npLBTEryf9A</t>
  </si>
  <si>
    <t>https://docs.google.com/spreadsheets/d/1hueDgmMxKT_BNS94lrFElCPfLiz1Xmd-npLBTEryf9A/edit</t>
  </si>
  <si>
    <t>32.308.872/0001-08</t>
  </si>
  <si>
    <t>marconiedsonrodriguesmoreira@educacao.jaboatao.pe.gov.br</t>
  </si>
  <si>
    <t>ESTRADA DA BATALHA, 172</t>
  </si>
  <si>
    <t>26109417</t>
  </si>
  <si>
    <t>ESCOLA MUNICIPAL NOSSA SENHORA DE FATIMA</t>
  </si>
  <si>
    <t>1lT2y8Svk34E-G6eGncgVJaUBx0puh02CgDB86juX4WA</t>
  </si>
  <si>
    <t>https://docs.google.com/spreadsheets/d/1lT2y8Svk34E-G6eGncgVJaUBx0puh02CgDB86juX4WA/edit</t>
  </si>
  <si>
    <t>01.956.007/0001-44</t>
  </si>
  <si>
    <t>escolanossasenhoradefatima@educacao.jaboatao.pe.gov.br</t>
  </si>
  <si>
    <t>Av. Córrego da Batalha, 403</t>
  </si>
  <si>
    <t>54.315-400</t>
  </si>
  <si>
    <t>26109743</t>
  </si>
  <si>
    <t>ESCOLA MUNICIPAL NOSSA SENHORA DOS PRAZERES</t>
  </si>
  <si>
    <t>1hqFUDzXZk1r3tKKrXCtkmt4EKHJ2MbRX3umMXFQUD2k</t>
  </si>
  <si>
    <t>https://docs.google.com/spreadsheets/d/1hqFUDzXZk1r3tKKrXCtkmt4EKHJ2MbRX3umMXFQUD2k/edit</t>
  </si>
  <si>
    <t>01.940.818/0001-57</t>
  </si>
  <si>
    <t>escolanossasenhoradosprazeres@educacao.jaboatao.pe.gov.br</t>
  </si>
  <si>
    <t>Rua Sargento Quintas  Porto, 401</t>
  </si>
  <si>
    <t>54.320-111</t>
  </si>
  <si>
    <t>26188139</t>
  </si>
  <si>
    <t>ESCOLA MUNICIPAL PROFESSOR ACHILES SALES DA SILVA</t>
  </si>
  <si>
    <t>1gvlFgHmwIQla03QmX-p0TZsAfRvNuQ1O2BeBeEjAd40</t>
  </si>
  <si>
    <t>https://docs.google.com/spreadsheets/d/1gvlFgHmwIQla03QmX-p0TZsAfRvNuQ1O2BeBeEjAd40/edit</t>
  </si>
  <si>
    <t>33.675.361/0001-97</t>
  </si>
  <si>
    <t>professorachilessales@educacao.jaboatao.pe.gov.br</t>
  </si>
  <si>
    <t>Estrada da Linha Velha, 1024</t>
  </si>
  <si>
    <t>54.325-021</t>
  </si>
  <si>
    <t>26183137</t>
  </si>
  <si>
    <t>ESCOLA MUNICIPAL PROFESSORA EUNICE FELIX SILVA</t>
  </si>
  <si>
    <t>1nvKPd3nf9Ib9U2iXCStRr73rAZFAJLtUo0YS41X-1DA</t>
  </si>
  <si>
    <t>https://docs.google.com/spreadsheets/d/1nvKPd3nf9Ib9U2iXCStRr73rAZFAJLtUo0YS41X-1DA/edit</t>
  </si>
  <si>
    <t>21.565.522/0001-00</t>
  </si>
  <si>
    <t>escolaprofeunicefelix@educacao.jaboatao.pe.gov.br</t>
  </si>
  <si>
    <t>Rua Boa Esperança , 1</t>
  </si>
  <si>
    <t>54.320-030</t>
  </si>
  <si>
    <t>26137747</t>
  </si>
  <si>
    <t>ESCOLA MUNICIPAL PROFESSORA EXPEDITA HELENA ALMEIDA DA SILVA</t>
  </si>
  <si>
    <t>1Xuw2nQGV9rbf0MEW5NRSI1EXBzx7Tt_AtwzM2G3RlXY</t>
  </si>
  <si>
    <t>https://docs.google.com/spreadsheets/d/1Xuw2nQGV9rbf0MEW5NRSI1EXBzx7Tt_AtwzM2G3RlXY/edit</t>
  </si>
  <si>
    <t>17.054.774/0001-06</t>
  </si>
  <si>
    <t>professoraexpeditahelena@educacao.jaboatao.pe.gov.br</t>
  </si>
  <si>
    <t>Rua São Felix, 74</t>
  </si>
  <si>
    <t>54.325-280</t>
  </si>
  <si>
    <t>26183145</t>
  </si>
  <si>
    <t>ESCOLA MUNICIPAL PROFESSORA LUZIANA MARIA PEREIRA</t>
  </si>
  <si>
    <t>1UYEOJTHQ52RFo3PLIrlWbNUofqr0gXhwyxpA-ytiG8s</t>
  </si>
  <si>
    <t>https://docs.google.com/spreadsheets/d/1UYEOJTHQ52RFo3PLIrlWbNUofqr0gXhwyxpA-ytiG8s/edit</t>
  </si>
  <si>
    <t>21.668.624/0001-51</t>
  </si>
  <si>
    <t>escolaprofluziana@educacao.jaboatao.pe.gov.br</t>
  </si>
  <si>
    <t>Rua Ipanema, 625</t>
  </si>
  <si>
    <t>54.320-160</t>
  </si>
  <si>
    <t>26109166</t>
  </si>
  <si>
    <t>ESCOLA MUNICIPAL VEREADOR ANTONIO JANUARIO</t>
  </si>
  <si>
    <t>12YFfzKMgMCIdzHag-WsPSn36SLv9LiHjjKIoHc0TCGY</t>
  </si>
  <si>
    <t>https://docs.google.com/spreadsheets/d/12YFfzKMgMCIdzHag-WsPSn36SLv9LiHjjKIoHc0TCGY/edit</t>
  </si>
  <si>
    <t>01.931.771/0001-65</t>
  </si>
  <si>
    <t>escolaantoniojanuario@educacao.jaboatao.pe.gov.br</t>
  </si>
  <si>
    <t>Av. Agamenon Magalhães, SN</t>
  </si>
  <si>
    <t>54.310-060</t>
  </si>
  <si>
    <t>Atualizado em: 05/10/2026</t>
  </si>
  <si>
    <t>CRECHES MUNICIPAIS 2026</t>
  </si>
  <si>
    <t>CAPACIDADE, MATRICULADOS E VAGAS - REGIONAL 1</t>
  </si>
  <si>
    <t>CAPACIDADES / MATRICULADOS / VAGAS</t>
  </si>
  <si>
    <t>Educação Infantil</t>
  </si>
  <si>
    <t>CRECHE</t>
  </si>
  <si>
    <t>CEMEI</t>
  </si>
  <si>
    <t>PRÉ-ESCOLA</t>
  </si>
  <si>
    <t>TOTAL INFANTIL</t>
  </si>
  <si>
    <t>INFANTIL 1</t>
  </si>
  <si>
    <t>INFANTIL 2</t>
  </si>
  <si>
    <t>INFANTIL 3</t>
  </si>
  <si>
    <t>Subtotal</t>
  </si>
  <si>
    <t>INFANTIL 4</t>
  </si>
  <si>
    <t>INFANTIL 5</t>
  </si>
  <si>
    <t>Integral</t>
  </si>
  <si>
    <t>M</t>
  </si>
  <si>
    <t>T</t>
  </si>
  <si>
    <t>I + M + T</t>
  </si>
  <si>
    <t>CEMEI PROFª MARIA JOSE DA SILVA</t>
  </si>
  <si>
    <t>CAPACIDADE</t>
  </si>
  <si>
    <t>MATRICULADOS</t>
  </si>
  <si>
    <t>VAGAS</t>
  </si>
  <si>
    <t>CRECHE PROFESSORA MARIA RITA LINS MARTINS</t>
  </si>
  <si>
    <t>POSIÇÃO</t>
  </si>
  <si>
    <t>CAPACIDADE, MATRICULADOS E VAGAS - REGIONAL 2</t>
  </si>
  <si>
    <t>CRECHE MUNICIPAL ALAYDE MARIA DA CONCEICAO</t>
  </si>
  <si>
    <t>CRECHE PROFESSORA LEDA MARIA QUEIROZ DO REGO BARROS</t>
  </si>
  <si>
    <t>CAPACIDADE, MATRICULADOS E VAGAS - REGIONAL 3</t>
  </si>
  <si>
    <t>CAPACIDADE, MATRICULADOS E VAGAS - REGIONAL 4</t>
  </si>
  <si>
    <t>CEMEI PROFª MARINALVA MARIA VICENTE</t>
  </si>
  <si>
    <t>CAPACIDADE, MATRICULADOS E VAGAS - REGIONAL 5</t>
  </si>
  <si>
    <t>CEMEI PROFª LINDOMAR DOMINGOS DA SILVA ANJOS</t>
  </si>
  <si>
    <t>CEMEI PROFª MARIA DE FATIMA DA SILVA</t>
  </si>
  <si>
    <t>CEMEI PROFª MARIA LUZIA RIO LIMA</t>
  </si>
  <si>
    <t>CAPACIDADE, MATRICULADOS E VAGAS - REGIONAL 6</t>
  </si>
  <si>
    <t>CEMEI PROFª LIGIA ARAUJO DE OLIVEIRA</t>
  </si>
  <si>
    <t>CEMEI PROFª MARLUCIA EVANGELISTA DE SOUZA</t>
  </si>
  <si>
    <t>CEMEI PROFª RAKELLY NOGUEIRA DO NASCIMENTO</t>
  </si>
  <si>
    <t>CEMEI PROFª SIMONE PATRICIA FERREIRA DA SILVA</t>
  </si>
  <si>
    <t>CAPACIDADE, MATRICULADOS E VAGAS - REGIONAL 7</t>
  </si>
  <si>
    <t>CEMEI PROFª CIBELE DE ANDRADE MENDES DE AZEVEDO</t>
  </si>
  <si>
    <t>CRECHE PROFª SILVIA CRISTINA BOTELHO</t>
  </si>
  <si>
    <t>Relatório Estatistico Consolidado e Atualizado da Demanda Reprimida - INFANTIL 1 ao 3</t>
  </si>
  <si>
    <t>Dados atualizados em:</t>
  </si>
  <si>
    <t>MATRICULADO</t>
  </si>
  <si>
    <t>1hxPayDdBnaiPKtCb1UGIxlkRnOV82F7ROS8EXuD7bog</t>
  </si>
  <si>
    <t>1TOZLF6kzPOj1ymTMIqEBuEp-tK_ODfVoF_3ZxEBsnJQ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</si>
</sst>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/m/yyyy"/>
    <numFmt numFmtId="181" formatCode="dd/mm/yyyy\ hh:mm:ss"/>
    <numFmt numFmtId="182" formatCode="d/m/yyyy\ hh:mm:ss"/>
  </numFmts>
  <fonts count="36">
    <font>
      <sz val="10"/>
      <color rgb="FF000000"/>
      <name val="Calibri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0"/>
      <color theme="1"/>
      <name val="Calibri"/>
      <charset val="134"/>
    </font>
    <font>
      <b/>
      <sz val="18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theme="1"/>
      <name val="Arial"/>
      <charset val="134"/>
    </font>
    <font>
      <b/>
      <sz val="11"/>
      <color rgb="FFFFFFFF"/>
      <name val="Calibri"/>
      <charset val="134"/>
    </font>
    <font>
      <b/>
      <sz val="10"/>
      <color theme="1"/>
      <name val="Calibri"/>
      <charset val="134"/>
    </font>
    <font>
      <sz val="10"/>
      <color rgb="FF000000"/>
      <name val="Calibri"/>
      <charset val="1"/>
    </font>
    <font>
      <b/>
      <sz val="9"/>
      <color rgb="FFFF0000"/>
      <name val="Calibri"/>
      <charset val="1"/>
    </font>
    <font>
      <b/>
      <sz val="10"/>
      <color theme="1"/>
      <name val="Calibri"/>
      <charset val="1"/>
    </font>
    <font>
      <sz val="10"/>
      <color theme="1"/>
      <name val="Calibri"/>
      <charset val="1"/>
    </font>
    <font>
      <u/>
      <sz val="10"/>
      <color rgb="FF0000FF"/>
      <name val="Calibri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CCCCC"/>
        <bgColor rgb="FFD9D9D9"/>
      </patternFill>
    </fill>
    <fill>
      <patternFill patternType="solid">
        <fgColor rgb="FF8DB4E2"/>
        <bgColor rgb="FF9999FF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CCCCCC"/>
      </patternFill>
    </fill>
    <fill>
      <patternFill patternType="solid">
        <fgColor rgb="FFF6F8F9"/>
        <bgColor rgb="FFFFFFFF"/>
      </patternFill>
    </fill>
    <fill>
      <patternFill patternType="solid">
        <fgColor rgb="FFFFFFFF"/>
        <bgColor rgb="FFF6F8F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Border="0" applyAlignment="0" applyProtection="0"/>
    <xf numFmtId="177" fontId="15" fillId="0" borderId="0" applyBorder="0" applyAlignment="0" applyProtection="0"/>
    <xf numFmtId="9" fontId="15" fillId="0" borderId="0" applyBorder="0" applyAlignment="0" applyProtection="0"/>
    <xf numFmtId="178" fontId="15" fillId="0" borderId="0" applyBorder="0" applyAlignment="0" applyProtection="0"/>
    <xf numFmtId="179" fontId="15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18" applyNumberFormat="0" applyAlignment="0" applyProtection="0">
      <alignment vertical="center"/>
    </xf>
    <xf numFmtId="0" fontId="26" fillId="12" borderId="19" applyNumberFormat="0" applyAlignment="0" applyProtection="0">
      <alignment vertical="center"/>
    </xf>
    <xf numFmtId="0" fontId="27" fillId="12" borderId="18" applyNumberFormat="0" applyAlignment="0" applyProtection="0">
      <alignment vertical="center"/>
    </xf>
    <xf numFmtId="0" fontId="28" fillId="13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</cellStyleXfs>
  <cellXfs count="1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3" fontId="6" fillId="6" borderId="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181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80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49" fontId="7" fillId="0" borderId="0" xfId="0" applyNumberFormat="1" applyFont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49" fontId="6" fillId="3" borderId="0" xfId="0" applyNumberFormat="1" applyFont="1" applyFill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5" fillId="7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/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9" fillId="0" borderId="0" xfId="0" applyFont="1" applyBorder="1" applyAlignment="1">
      <alignment horizontal="center" wrapText="1"/>
    </xf>
    <xf numFmtId="49" fontId="9" fillId="3" borderId="0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7" borderId="4" xfId="0" applyNumberFormat="1" applyFont="1" applyFill="1" applyBorder="1" applyAlignment="1">
      <alignment horizontal="center"/>
    </xf>
    <xf numFmtId="3" fontId="9" fillId="5" borderId="4" xfId="0" applyNumberFormat="1" applyFont="1" applyFill="1" applyBorder="1" applyAlignment="1">
      <alignment horizontal="center" wrapText="1"/>
    </xf>
    <xf numFmtId="3" fontId="9" fillId="4" borderId="6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6" borderId="4" xfId="0" applyFont="1" applyFill="1" applyBorder="1" applyAlignment="1">
      <alignment horizontal="center" wrapText="1"/>
    </xf>
    <xf numFmtId="3" fontId="9" fillId="6" borderId="4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181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80" fontId="3" fillId="0" borderId="0" xfId="0" applyNumberFormat="1" applyFont="1" applyAlignment="1">
      <alignment vertical="center" wrapText="1"/>
    </xf>
    <xf numFmtId="0" fontId="10" fillId="0" borderId="0" xfId="0" applyFont="1"/>
    <xf numFmtId="49" fontId="11" fillId="0" borderId="0" xfId="0" applyNumberFormat="1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9" fontId="12" fillId="3" borderId="0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2" fillId="5" borderId="4" xfId="0" applyNumberFormat="1" applyFont="1" applyFill="1" applyBorder="1" applyAlignment="1">
      <alignment horizontal="center" vertical="center" wrapText="1"/>
    </xf>
    <xf numFmtId="3" fontId="12" fillId="4" borderId="6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3" fontId="12" fillId="6" borderId="4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vertical="center" wrapText="1"/>
    </xf>
    <xf numFmtId="181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80" fontId="13" fillId="0" borderId="0" xfId="0" applyNumberFormat="1" applyFont="1" applyAlignment="1">
      <alignment vertic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3" fillId="8" borderId="9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49" fontId="3" fillId="8" borderId="10" xfId="0" applyNumberFormat="1" applyFont="1" applyFill="1" applyBorder="1" applyAlignment="1">
      <alignment vertical="center"/>
    </xf>
    <xf numFmtId="0" fontId="3" fillId="8" borderId="10" xfId="0" applyFont="1" applyFill="1" applyBorder="1" applyAlignment="1">
      <alignment horizontal="left" vertical="center"/>
    </xf>
    <xf numFmtId="0" fontId="3" fillId="8" borderId="0" xfId="0" applyFont="1" applyFill="1" applyAlignment="1">
      <alignment vertical="center"/>
    </xf>
    <xf numFmtId="0" fontId="3" fillId="9" borderId="11" xfId="0" applyFont="1" applyFill="1" applyBorder="1" applyAlignment="1">
      <alignment vertical="center"/>
    </xf>
    <xf numFmtId="0" fontId="3" fillId="9" borderId="12" xfId="0" applyFont="1" applyFill="1" applyBorder="1" applyAlignment="1">
      <alignment vertical="center"/>
    </xf>
    <xf numFmtId="49" fontId="3" fillId="9" borderId="12" xfId="0" applyNumberFormat="1" applyFont="1" applyFill="1" applyBorder="1" applyAlignment="1">
      <alignment vertical="center"/>
    </xf>
    <xf numFmtId="0" fontId="3" fillId="9" borderId="12" xfId="0" applyFont="1" applyFill="1" applyBorder="1" applyAlignment="1">
      <alignment horizontal="left" vertical="center"/>
    </xf>
    <xf numFmtId="0" fontId="3" fillId="9" borderId="0" xfId="0" applyFont="1" applyFill="1" applyAlignment="1">
      <alignment vertical="center"/>
    </xf>
    <xf numFmtId="0" fontId="3" fillId="9" borderId="13" xfId="0" applyFont="1" applyFill="1" applyBorder="1" applyAlignment="1">
      <alignment vertical="center"/>
    </xf>
    <xf numFmtId="0" fontId="3" fillId="9" borderId="14" xfId="0" applyFont="1" applyFill="1" applyBorder="1" applyAlignment="1">
      <alignment vertical="center"/>
    </xf>
    <xf numFmtId="49" fontId="3" fillId="9" borderId="14" xfId="0" applyNumberFormat="1" applyFont="1" applyFill="1" applyBorder="1" applyAlignment="1">
      <alignment vertical="center"/>
    </xf>
    <xf numFmtId="0" fontId="3" fillId="9" borderId="1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82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dxfs count="18">
    <dxf>
      <fill>
        <patternFill patternType="solid">
          <bgColor rgb="FFD9D9D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6F8F9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DB4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84E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ela_Dados_Esc_JAB_2026" displayName="Tabela_Dados_Esc_JAB_2026" ref="A2:AH848" totalsRowShown="0">
  <tableColumns count="34">
    <tableColumn id="1" name="QTD"/>
    <tableColumn id="2" name="REGIONAL"/>
    <tableColumn id="3" name="INEP"/>
    <tableColumn id="4" name="ESCOLA"/>
    <tableColumn id="5" name="ID"/>
    <tableColumn id="6" name="URL"/>
    <tableColumn id="7" name="CNPJ"/>
    <tableColumn id="8" name="E-mail"/>
    <tableColumn id="9" name="LOCAL"/>
    <tableColumn id="10" name="TURNO"/>
    <tableColumn id="11" name="Column 11"/>
    <tableColumn id="12" name="Column 12"/>
    <tableColumn id="13" name="Column 13"/>
    <tableColumn id="14" name="Column 14"/>
    <tableColumn id="15" name="Column 15"/>
    <tableColumn id="16" name="Column 16"/>
    <tableColumn id="17" name="Column 17"/>
    <tableColumn id="18" name="Column 18"/>
    <tableColumn id="19" name="Column 19"/>
    <tableColumn id="20" name="Column 20"/>
    <tableColumn id="21" name="Column 21"/>
    <tableColumn id="22" name="Column 22"/>
    <tableColumn id="23" name="Column 23"/>
    <tableColumn id="24" name="Column 24"/>
    <tableColumn id="25" name="Column 25"/>
    <tableColumn id="26" name="Column 26"/>
    <tableColumn id="27" name="Column 27"/>
    <tableColumn id="28" name="Column 28"/>
    <tableColumn id="29" name="Column 29"/>
    <tableColumn id="30" name="Column 30"/>
    <tableColumn id="31" name="Column 31"/>
    <tableColumn id="32" name="Column 32"/>
    <tableColumn id="33" name="Column 33"/>
    <tableColumn id="34" name="Column 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_1" displayName="Table_1" ref="A23:R1067" headerRowCount="0" totalsRowShown="0">
  <tableColumns count="1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_2" displayName="Table_2" ref="A20:Y1050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_3" displayName="Table_3" ref="A20:Y31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_4" displayName="Table_4" ref="A16:Y44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_5" displayName="Table_5" ref="A23:Y1139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_6" displayName="Table_6" ref="A25:Y1074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_7" displayName="Table_7" ref="A25:Y74" header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_8" displayName="Table_8" ref="B6:I306" totalsRowShown="0">
  <tableColumns count="8">
    <tableColumn id="1" name="REGIONAL"/>
    <tableColumn id="2" name="DATA DA SOLICITAÇÃO"/>
    <tableColumn id="3" name="POSIÇÃO"/>
    <tableColumn id="4" name="ESTUDANTE"/>
    <tableColumn id="5" name="DATA DE NASCIMENTO"/>
    <tableColumn id="6" name="CPF"/>
    <tableColumn id="7" name="ANO"/>
    <tableColumn id="8" name="ESCOLA PRETENDIDA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1vNIkiz5BnQGJhB0rYlcWtvdRawVM8FN0ulC08s8OgtA/edit?usp=drive_web&amp;ouid=118073618687250513844" TargetMode="Externa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C1099"/>
  <sheetViews>
    <sheetView workbookViewId="0">
      <selection activeCell="A1" sqref="A1"/>
    </sheetView>
  </sheetViews>
  <sheetFormatPr defaultColWidth="14.43" defaultRowHeight="15" customHeight="1"/>
  <cols>
    <col min="1" max="1" width="2.86" customWidth="1"/>
    <col min="2" max="2" width="10.86" customWidth="1"/>
    <col min="3" max="3" width="56.58" customWidth="1"/>
    <col min="4" max="4" width="13.29" customWidth="1"/>
    <col min="5" max="6" width="14.57" customWidth="1"/>
    <col min="7" max="7" width="10" customWidth="1"/>
    <col min="8" max="8" width="11.71" customWidth="1"/>
    <col min="9" max="10" width="17.57" customWidth="1"/>
    <col min="11" max="11" width="43.57" customWidth="1"/>
    <col min="12" max="12" width="20" customWidth="1"/>
    <col min="13" max="13" width="14" customWidth="1"/>
    <col min="14" max="14" width="31.29" customWidth="1"/>
    <col min="15" max="15" width="30.86" customWidth="1"/>
  </cols>
  <sheetData>
    <row r="1" ht="13" spans="1:2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3" hidden="1" spans="1:29">
      <c r="A2" s="3"/>
      <c r="B2" s="3" t="str">
        <f t="array" ref="B2">_xlfn.XLOOKUP(D2,Tabela_Dados_Esc_JAB_2026[INEP],Tabela_Dados_Esc_JAB_2026[REGIONAL],"NE",0)</f>
        <v>REGIONAL 7</v>
      </c>
      <c r="C2" s="4" t="str">
        <f>IFERROR(__xludf.dummyfunction("QUERY(IMPORTRANGE(""https://docs.google.com/spreadsheets/d/1d_cIwlOLUoinxyGHZf9tybE_zjflL7oelQpkKokKpnw/edit?gid=427424825#gid=427424825"",""CandidatosFilaDeEspera!A2:N""), ""SELECT * "")"),"CEMEI DR. PAULO MENDES")</f>
        <v>CEMEI DR. PAULO MENDES</v>
      </c>
      <c r="D2" s="3" t="str">
        <f>IFERROR(__xludf.dummyfunction("""COMPUTED_VALUE"""),"26194643")</f>
        <v>26194643</v>
      </c>
      <c r="E2" s="3" t="str">
        <f>IFERROR(__xludf.dummyfunction("""COMPUTED_VALUE"""),"INFANTIL 1")</f>
        <v>INFANTIL 1</v>
      </c>
      <c r="F2" s="3" t="str">
        <f>IFERROR(__xludf.dummyfunction("""COMPUTED_VALUE"""),"Integral")</f>
        <v>Integral</v>
      </c>
      <c r="G2" s="3" t="str">
        <f>IFERROR(__xludf.dummyfunction("""COMPUTED_VALUE"""),"Comum")</f>
        <v>Comum</v>
      </c>
      <c r="H2" s="3" t="str">
        <f>IFERROR(__xludf.dummyfunction("""COMPUTED_VALUE"""),"1")</f>
        <v>1</v>
      </c>
      <c r="I2" s="145" t="str">
        <f>IFERROR(__xludf.dummyfunction("""COMPUTED_VALUE"""),"26032971417")</f>
        <v>26032971417</v>
      </c>
      <c r="J2" s="3" t="str">
        <f>IFERROR(__xludf.dummyfunction("""COMPUTED_VALUE"""),"24/03/2026 13:31:53")</f>
        <v>24/03/2026 13:31:53</v>
      </c>
      <c r="K2" s="3" t="str">
        <f>IFERROR(__xludf.dummyfunction("""COMPUTED_VALUE"""),"MARIA EDUARDA SANTANA FELIX DA SILVA")</f>
        <v>MARIA EDUARDA SANTANA FELIX DA SILVA</v>
      </c>
      <c r="L2" s="146" t="str">
        <f>IFERROR(__xludf.dummyfunction("""COMPUTED_VALUE"""),"004.110.684-90")</f>
        <v>004.110.684-90</v>
      </c>
      <c r="M2" s="146" t="str">
        <f>IFERROR(__xludf.dummyfunction("""COMPUTED_VALUE"""),"09/06/2024")</f>
        <v>09/06/2024</v>
      </c>
      <c r="N2" s="3"/>
      <c r="O2" s="3" t="str">
        <f>IFERROR(__xludf.dummyfunction("""COMPUTED_VALUE"""),"0")</f>
        <v>0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13" hidden="1" spans="1:29">
      <c r="A3" s="3"/>
      <c r="B3" s="3" t="str">
        <f t="array" ref="B3">_xlfn.XLOOKUP(D3,Tabela_Dados_Esc_JAB_2026[INEP],Tabela_Dados_Esc_JAB_2026[REGIONAL],"NE",0)</f>
        <v>REGIONAL 7</v>
      </c>
      <c r="C3" s="4" t="str">
        <f>IFERROR(__xludf.dummyfunction("""COMPUTED_VALUE"""),"CEMEI DR. PAULO MENDES")</f>
        <v>CEMEI DR. PAULO MENDES</v>
      </c>
      <c r="D3" s="3" t="str">
        <f>IFERROR(__xludf.dummyfunction("""COMPUTED_VALUE"""),"26194643")</f>
        <v>26194643</v>
      </c>
      <c r="E3" s="3" t="str">
        <f>IFERROR(__xludf.dummyfunction("""COMPUTED_VALUE"""),"INFANTIL 1")</f>
        <v>INFANTIL 1</v>
      </c>
      <c r="F3" s="3" t="str">
        <f>IFERROR(__xludf.dummyfunction("""COMPUTED_VALUE"""),"Integral")</f>
        <v>Integral</v>
      </c>
      <c r="G3" s="3" t="str">
        <f>IFERROR(__xludf.dummyfunction("""COMPUTED_VALUE"""),"Comum")</f>
        <v>Comum</v>
      </c>
      <c r="H3" s="3" t="str">
        <f>IFERROR(__xludf.dummyfunction("""COMPUTED_VALUE"""),"2")</f>
        <v>2</v>
      </c>
      <c r="I3" s="145" t="str">
        <f>IFERROR(__xludf.dummyfunction("""COMPUTED_VALUE"""),"26032365428")</f>
        <v>26032365428</v>
      </c>
      <c r="J3" s="3" t="str">
        <f>IFERROR(__xludf.dummyfunction("""COMPUTED_VALUE"""),"27/03/2026 12:51:51")</f>
        <v>27/03/2026 12:51:51</v>
      </c>
      <c r="K3" s="3" t="str">
        <f>IFERROR(__xludf.dummyfunction("""COMPUTED_VALUE"""),"OLIVER BENJAMIN DA SILVA LIMA")</f>
        <v>OLIVER BENJAMIN DA SILVA LIMA</v>
      </c>
      <c r="L3" s="146" t="str">
        <f>IFERROR(__xludf.dummyfunction("""COMPUTED_VALUE"""),"022.780.734-00")</f>
        <v>022.780.734-00</v>
      </c>
      <c r="M3" s="146" t="str">
        <f>IFERROR(__xludf.dummyfunction("""COMPUTED_VALUE"""),"13/11/2025")</f>
        <v>13/11/2025</v>
      </c>
      <c r="N3" s="3"/>
      <c r="O3" s="3" t="str">
        <f>IFERROR(__xludf.dummyfunction("""COMPUTED_VALUE"""),"0")</f>
        <v>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ht="13" hidden="1" spans="1:29">
      <c r="A4" s="3"/>
      <c r="B4" s="3" t="str">
        <f t="array" ref="B4">_xlfn.XLOOKUP(D4,Tabela_Dados_Esc_JAB_2026[INEP],Tabela_Dados_Esc_JAB_2026[REGIONAL],"NE",0)</f>
        <v>REGIONAL 7</v>
      </c>
      <c r="C4" s="4" t="str">
        <f>IFERROR(__xludf.dummyfunction("""COMPUTED_VALUE"""),"CEMEI DR. PAULO MENDES")</f>
        <v>CEMEI DR. PAULO MENDES</v>
      </c>
      <c r="D4" s="3" t="str">
        <f>IFERROR(__xludf.dummyfunction("""COMPUTED_VALUE"""),"26194643")</f>
        <v>26194643</v>
      </c>
      <c r="E4" s="3" t="str">
        <f>IFERROR(__xludf.dummyfunction("""COMPUTED_VALUE"""),"INFANTIL 1")</f>
        <v>INFANTIL 1</v>
      </c>
      <c r="F4" s="3" t="str">
        <f>IFERROR(__xludf.dummyfunction("""COMPUTED_VALUE"""),"Integral")</f>
        <v>Integral</v>
      </c>
      <c r="G4" s="3" t="str">
        <f>IFERROR(__xludf.dummyfunction("""COMPUTED_VALUE"""),"Comum")</f>
        <v>Comum</v>
      </c>
      <c r="H4" s="3" t="str">
        <f>IFERROR(__xludf.dummyfunction("""COMPUTED_VALUE"""),"3")</f>
        <v>3</v>
      </c>
      <c r="I4" s="145" t="str">
        <f>IFERROR(__xludf.dummyfunction("""COMPUTED_VALUE"""),"26052086599")</f>
        <v>26052086599</v>
      </c>
      <c r="J4" s="3" t="str">
        <f>IFERROR(__xludf.dummyfunction("""COMPUTED_VALUE"""),"21/05/2026 11:32:39")</f>
        <v>21/05/2026 11:32:39</v>
      </c>
      <c r="K4" s="3" t="str">
        <f>IFERROR(__xludf.dummyfunction("""COMPUTED_VALUE"""),"KAUÊ HENRIQUE DE ARAÚJO SILVA")</f>
        <v>KAUÊ HENRIQUE DE ARAÚJO SILVA</v>
      </c>
      <c r="L4" s="146" t="str">
        <f>IFERROR(__xludf.dummyfunction("""COMPUTED_VALUE"""),"002.527.454-69")</f>
        <v>002.527.454-69</v>
      </c>
      <c r="M4" s="146" t="str">
        <f>IFERROR(__xludf.dummyfunction("""COMPUTED_VALUE"""),"01/04/2024")</f>
        <v>01/04/2024</v>
      </c>
      <c r="N4" s="3"/>
      <c r="O4" s="3" t="str">
        <f>IFERROR(__xludf.dummyfunction("""COMPUTED_VALUE"""),"0")</f>
        <v>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3" hidden="1" spans="1:29">
      <c r="A5" s="3"/>
      <c r="B5" s="3" t="str">
        <f t="array" ref="B5">_xlfn.XLOOKUP(D5,Tabela_Dados_Esc_JAB_2026[INEP],Tabela_Dados_Esc_JAB_2026[REGIONAL],"NE",0)</f>
        <v>REGIONAL 7</v>
      </c>
      <c r="C5" s="4" t="str">
        <f>IFERROR(__xludf.dummyfunction("""COMPUTED_VALUE"""),"CEMEI DR. PAULO MENDES")</f>
        <v>CEMEI DR. PAULO MENDES</v>
      </c>
      <c r="D5" s="3" t="str">
        <f>IFERROR(__xludf.dummyfunction("""COMPUTED_VALUE"""),"26194643")</f>
        <v>26194643</v>
      </c>
      <c r="E5" s="3" t="str">
        <f>IFERROR(__xludf.dummyfunction("""COMPUTED_VALUE"""),"INFANTIL 1")</f>
        <v>INFANTIL 1</v>
      </c>
      <c r="F5" s="3" t="str">
        <f>IFERROR(__xludf.dummyfunction("""COMPUTED_VALUE"""),"Integral")</f>
        <v>Integral</v>
      </c>
      <c r="G5" s="3" t="str">
        <f>IFERROR(__xludf.dummyfunction("""COMPUTED_VALUE"""),"Comum")</f>
        <v>Comum</v>
      </c>
      <c r="H5" s="3" t="str">
        <f>IFERROR(__xludf.dummyfunction("""COMPUTED_VALUE"""),"4")</f>
        <v>4</v>
      </c>
      <c r="I5" s="145" t="str">
        <f>IFERROR(__xludf.dummyfunction("""COMPUTED_VALUE"""),"26052534169")</f>
        <v>26052534169</v>
      </c>
      <c r="J5" s="3" t="str">
        <f>IFERROR(__xludf.dummyfunction("""COMPUTED_VALUE"""),"22/05/2026 09:22:30")</f>
        <v>22/05/2026 09:22:30</v>
      </c>
      <c r="K5" s="3" t="str">
        <f>IFERROR(__xludf.dummyfunction("""COMPUTED_VALUE"""),"Aylla Eduarda Marques da Silva")</f>
        <v>Aylla Eduarda Marques da Silva</v>
      </c>
      <c r="L5" s="146" t="str">
        <f>IFERROR(__xludf.dummyfunction("""COMPUTED_VALUE"""),"003.643.684-46")</f>
        <v>003.643.684-46</v>
      </c>
      <c r="M5" s="146" t="str">
        <f>IFERROR(__xludf.dummyfunction("""COMPUTED_VALUE"""),"27/07/2024")</f>
        <v>27/07/2024</v>
      </c>
      <c r="N5" s="3"/>
      <c r="O5" s="3" t="str">
        <f>IFERROR(__xludf.dummyfunction("""COMPUTED_VALUE"""),"0")</f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3" hidden="1" spans="1:29">
      <c r="A6" s="3"/>
      <c r="B6" s="3" t="str">
        <f t="array" ref="B6">_xlfn.XLOOKUP(D6,Tabela_Dados_Esc_JAB_2026[INEP],Tabela_Dados_Esc_JAB_2026[REGIONAL],"NE",0)</f>
        <v>REGIONAL 7</v>
      </c>
      <c r="C6" s="4" t="str">
        <f>IFERROR(__xludf.dummyfunction("""COMPUTED_VALUE"""),"CEMEI DR. PAULO MENDES")</f>
        <v>CEMEI DR. PAULO MENDES</v>
      </c>
      <c r="D6" s="3" t="str">
        <f>IFERROR(__xludf.dummyfunction("""COMPUTED_VALUE"""),"26194643")</f>
        <v>26194643</v>
      </c>
      <c r="E6" s="3" t="str">
        <f>IFERROR(__xludf.dummyfunction("""COMPUTED_VALUE"""),"INFANTIL 1")</f>
        <v>INFANTIL 1</v>
      </c>
      <c r="F6" s="3" t="str">
        <f>IFERROR(__xludf.dummyfunction("""COMPUTED_VALUE"""),"Integral")</f>
        <v>Integral</v>
      </c>
      <c r="G6" s="3" t="str">
        <f>IFERROR(__xludf.dummyfunction("""COMPUTED_VALUE"""),"Comum")</f>
        <v>Comum</v>
      </c>
      <c r="H6" s="3" t="str">
        <f>IFERROR(__xludf.dummyfunction("""COMPUTED_VALUE"""),"5")</f>
        <v>5</v>
      </c>
      <c r="I6" s="145" t="str">
        <f>IFERROR(__xludf.dummyfunction("""COMPUTED_VALUE"""),"26062410587")</f>
        <v>26062410587</v>
      </c>
      <c r="J6" s="3" t="str">
        <f>IFERROR(__xludf.dummyfunction("""COMPUTED_VALUE"""),"23/06/2026 09:32:02")</f>
        <v>23/06/2026 09:32:02</v>
      </c>
      <c r="K6" s="3" t="str">
        <f>IFERROR(__xludf.dummyfunction("""COMPUTED_VALUE"""),"MARIANA LEANDRA TOMAZ DE MELO")</f>
        <v>MARIANA LEANDRA TOMAZ DE MELO</v>
      </c>
      <c r="L6" s="146" t="str">
        <f>IFERROR(__xludf.dummyfunction("""COMPUTED_VALUE"""),"004.786.214-93")</f>
        <v>004.786.214-93</v>
      </c>
      <c r="M6" s="146" t="str">
        <f>IFERROR(__xludf.dummyfunction("""COMPUTED_VALUE"""),"25/11/2024")</f>
        <v>25/11/2024</v>
      </c>
      <c r="N6" s="3"/>
      <c r="O6" s="3" t="str">
        <f>IFERROR(__xludf.dummyfunction("""COMPUTED_VALUE"""),"0")</f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13" hidden="1" spans="1:29">
      <c r="A7" s="3"/>
      <c r="B7" s="3" t="str">
        <f t="array" ref="B7">_xlfn.XLOOKUP(D7,Tabela_Dados_Esc_JAB_2026[INEP],Tabela_Dados_Esc_JAB_2026[REGIONAL],"NE",0)</f>
        <v>REGIONAL 7</v>
      </c>
      <c r="C7" s="4" t="str">
        <f>IFERROR(__xludf.dummyfunction("""COMPUTED_VALUE"""),"CEMEI DR. PAULO MENDES")</f>
        <v>CEMEI DR. PAULO MENDES</v>
      </c>
      <c r="D7" s="3" t="str">
        <f>IFERROR(__xludf.dummyfunction("""COMPUTED_VALUE"""),"26194643")</f>
        <v>26194643</v>
      </c>
      <c r="E7" s="3" t="str">
        <f>IFERROR(__xludf.dummyfunction("""COMPUTED_VALUE"""),"INFANTIL 1")</f>
        <v>INFANTIL 1</v>
      </c>
      <c r="F7" s="3" t="str">
        <f>IFERROR(__xludf.dummyfunction("""COMPUTED_VALUE"""),"Integral")</f>
        <v>Integral</v>
      </c>
      <c r="G7" s="3" t="str">
        <f>IFERROR(__xludf.dummyfunction("""COMPUTED_VALUE"""),"Comum")</f>
        <v>Comum</v>
      </c>
      <c r="H7" s="3" t="str">
        <f>IFERROR(__xludf.dummyfunction("""COMPUTED_VALUE"""),"6")</f>
        <v>6</v>
      </c>
      <c r="I7" s="147" t="str">
        <f>IFERROR(__xludf.dummyfunction("""COMPUTED_VALUE"""),"26062171235")</f>
        <v>26062171235</v>
      </c>
      <c r="J7" s="3" t="str">
        <f>IFERROR(__xludf.dummyfunction("""COMPUTED_VALUE"""),"23/06/2026 09:36:48")</f>
        <v>23/06/2026 09:36:48</v>
      </c>
      <c r="K7" s="3" t="str">
        <f>IFERROR(__xludf.dummyfunction("""COMPUTED_VALUE"""),"FERNANDA LEANDRA TOMAZ DE MELO")</f>
        <v>FERNANDA LEANDRA TOMAZ DE MELO</v>
      </c>
      <c r="L7" s="146" t="str">
        <f>IFERROR(__xludf.dummyfunction("""COMPUTED_VALUE"""),"004.785.384-05")</f>
        <v>004.785.384-05</v>
      </c>
      <c r="M7" s="146" t="str">
        <f>IFERROR(__xludf.dummyfunction("""COMPUTED_VALUE"""),"25/11/2024")</f>
        <v>25/11/2024</v>
      </c>
      <c r="N7" s="3"/>
      <c r="O7" s="3" t="str">
        <f>IFERROR(__xludf.dummyfunction("""COMPUTED_VALUE"""),"0")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13" hidden="1" spans="1:29">
      <c r="A8" s="3"/>
      <c r="B8" s="3" t="str">
        <f t="array" ref="B8">_xlfn.XLOOKUP(D8,Tabela_Dados_Esc_JAB_2026[INEP],Tabela_Dados_Esc_JAB_2026[REGIONAL],"NE",0)</f>
        <v>REGIONAL 7</v>
      </c>
      <c r="C8" s="4" t="str">
        <f>IFERROR(__xludf.dummyfunction("""COMPUTED_VALUE"""),"CEMEI DR. PAULO MENDES")</f>
        <v>CEMEI DR. PAULO MENDES</v>
      </c>
      <c r="D8" s="3" t="str">
        <f>IFERROR(__xludf.dummyfunction("""COMPUTED_VALUE"""),"26194643")</f>
        <v>26194643</v>
      </c>
      <c r="E8" s="3" t="str">
        <f>IFERROR(__xludf.dummyfunction("""COMPUTED_VALUE"""),"INFANTIL 1")</f>
        <v>INFANTIL 1</v>
      </c>
      <c r="F8" s="3" t="str">
        <f>IFERROR(__xludf.dummyfunction("""COMPUTED_VALUE"""),"Integral")</f>
        <v>Integral</v>
      </c>
      <c r="G8" s="3" t="str">
        <f>IFERROR(__xludf.dummyfunction("""COMPUTED_VALUE"""),"Comum")</f>
        <v>Comum</v>
      </c>
      <c r="H8" s="3" t="str">
        <f>IFERROR(__xludf.dummyfunction("""COMPUTED_VALUE"""),"7")</f>
        <v>7</v>
      </c>
      <c r="I8" s="147" t="str">
        <f>IFERROR(__xludf.dummyfunction("""COMPUTED_VALUE"""),"26072980169")</f>
        <v>26072980169</v>
      </c>
      <c r="J8" s="3" t="str">
        <f>IFERROR(__xludf.dummyfunction("""COMPUTED_VALUE"""),"23/07/2026 04:45:19")</f>
        <v>23/07/2026 04:45:19</v>
      </c>
      <c r="K8" s="3" t="str">
        <f>IFERROR(__xludf.dummyfunction("""COMPUTED_VALUE"""),"Ramon Oliveira Silva")</f>
        <v>Ramon Oliveira Silva</v>
      </c>
      <c r="L8" s="146" t="str">
        <f>IFERROR(__xludf.dummyfunction("""COMPUTED_VALUE"""),"024.777.004-30")</f>
        <v>024.777.004-30</v>
      </c>
      <c r="M8" s="146" t="str">
        <f>IFERROR(__xludf.dummyfunction("""COMPUTED_VALUE"""),"17/11/2025")</f>
        <v>17/11/2025</v>
      </c>
      <c r="N8" s="3"/>
      <c r="O8" s="3" t="str">
        <f>IFERROR(__xludf.dummyfunction("""COMPUTED_VALUE"""),"0")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13" hidden="1" spans="1:29">
      <c r="A9" s="3"/>
      <c r="B9" s="3" t="str">
        <f t="array" ref="B9">_xlfn.XLOOKUP(D9,Tabela_Dados_Esc_JAB_2026[INEP],Tabela_Dados_Esc_JAB_2026[REGIONAL],"NE",0)</f>
        <v>REGIONAL 7</v>
      </c>
      <c r="C9" s="4" t="str">
        <f>IFERROR(__xludf.dummyfunction("""COMPUTED_VALUE"""),"CEMEI DR. PAULO MENDES")</f>
        <v>CEMEI DR. PAULO MENDES</v>
      </c>
      <c r="D9" s="3" t="str">
        <f>IFERROR(__xludf.dummyfunction("""COMPUTED_VALUE"""),"26194643")</f>
        <v>26194643</v>
      </c>
      <c r="E9" s="3" t="str">
        <f>IFERROR(__xludf.dummyfunction("""COMPUTED_VALUE"""),"INFANTIL 1")</f>
        <v>INFANTIL 1</v>
      </c>
      <c r="F9" s="3" t="str">
        <f>IFERROR(__xludf.dummyfunction("""COMPUTED_VALUE"""),"Integral")</f>
        <v>Integral</v>
      </c>
      <c r="G9" s="3" t="str">
        <f>IFERROR(__xludf.dummyfunction("""COMPUTED_VALUE"""),"Comum")</f>
        <v>Comum</v>
      </c>
      <c r="H9" s="3" t="str">
        <f>IFERROR(__xludf.dummyfunction("""COMPUTED_VALUE"""),"8")</f>
        <v>8</v>
      </c>
      <c r="I9" s="147" t="str">
        <f>IFERROR(__xludf.dummyfunction("""COMPUTED_VALUE"""),"26092048380")</f>
        <v>26092048380</v>
      </c>
      <c r="J9" s="3" t="str">
        <f>IFERROR(__xludf.dummyfunction("""COMPUTED_VALUE"""),"02/09/2026 11:53:05")</f>
        <v>02/09/2026 11:53:05</v>
      </c>
      <c r="K9" s="3" t="str">
        <f>IFERROR(__xludf.dummyfunction("""COMPUTED_VALUE"""),"Efraim Miranda da Silva")</f>
        <v>Efraim Miranda da Silva</v>
      </c>
      <c r="L9" s="146" t="str">
        <f>IFERROR(__xludf.dummyfunction("""COMPUTED_VALUE"""),"006.663.544-64")</f>
        <v>006.663.544-64</v>
      </c>
      <c r="M9" s="146" t="str">
        <f>IFERROR(__xludf.dummyfunction("""COMPUTED_VALUE"""),"06/07/2025")</f>
        <v>06/07/2025</v>
      </c>
      <c r="N9" s="3"/>
      <c r="O9" s="3" t="str">
        <f>IFERROR(__xludf.dummyfunction("""COMPUTED_VALUE"""),"0")</f>
        <v>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13" hidden="1" spans="1:29">
      <c r="A10" s="3"/>
      <c r="B10" s="3" t="str">
        <f t="array" ref="B10">_xlfn.XLOOKUP(D10,Tabela_Dados_Esc_JAB_2026[INEP],Tabela_Dados_Esc_JAB_2026[REGIONAL],"NE",0)</f>
        <v>REGIONAL 7</v>
      </c>
      <c r="C10" s="4" t="str">
        <f>IFERROR(__xludf.dummyfunction("""COMPUTED_VALUE"""),"CEMEI DR. PAULO MENDES")</f>
        <v>CEMEI DR. PAULO MENDES</v>
      </c>
      <c r="D10" s="3" t="str">
        <f>IFERROR(__xludf.dummyfunction("""COMPUTED_VALUE"""),"26194643")</f>
        <v>26194643</v>
      </c>
      <c r="E10" s="3" t="str">
        <f>IFERROR(__xludf.dummyfunction("""COMPUTED_VALUE"""),"INFANTIL 2")</f>
        <v>INFANTIL 2</v>
      </c>
      <c r="F10" s="3" t="str">
        <f>IFERROR(__xludf.dummyfunction("""COMPUTED_VALUE"""),"Integral")</f>
        <v>Integral</v>
      </c>
      <c r="G10" s="3" t="str">
        <f>IFERROR(__xludf.dummyfunction("""COMPUTED_VALUE"""),"Comum")</f>
        <v>Comum</v>
      </c>
      <c r="H10" s="3" t="str">
        <f>IFERROR(__xludf.dummyfunction("""COMPUTED_VALUE"""),"1")</f>
        <v>1</v>
      </c>
      <c r="I10" s="147" t="str">
        <f>IFERROR(__xludf.dummyfunction("""COMPUTED_VALUE"""),"26062791417")</f>
        <v>26062791417</v>
      </c>
      <c r="J10" s="3" t="str">
        <f>IFERROR(__xludf.dummyfunction("""COMPUTED_VALUE"""),"10/06/2026 11:22:14")</f>
        <v>10/06/2026 11:22:14</v>
      </c>
      <c r="K10" s="3" t="str">
        <f>IFERROR(__xludf.dummyfunction("""COMPUTED_VALUE"""),"BRUNO GABRIEL SOARES DA SILVA")</f>
        <v>BRUNO GABRIEL SOARES DA SILVA</v>
      </c>
      <c r="L10" s="146" t="str">
        <f>IFERROR(__xludf.dummyfunction("""COMPUTED_VALUE"""),"001.026.744-18")</f>
        <v>001.026.744-18</v>
      </c>
      <c r="M10" s="146" t="str">
        <f>IFERROR(__xludf.dummyfunction("""COMPUTED_VALUE"""),"10/11/2023")</f>
        <v>10/11/2023</v>
      </c>
      <c r="N10" s="3"/>
      <c r="O10" s="3" t="str">
        <f>IFERROR(__xludf.dummyfunction("""COMPUTED_VALUE"""),"0")</f>
        <v>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ht="13" hidden="1" spans="1:29">
      <c r="A11" s="3"/>
      <c r="B11" s="3" t="str">
        <f t="array" ref="B11">_xlfn.XLOOKUP(D11,Tabela_Dados_Esc_JAB_2026[INEP],Tabela_Dados_Esc_JAB_2026[REGIONAL],"NE",0)</f>
        <v>REGIONAL 7</v>
      </c>
      <c r="C11" s="4" t="str">
        <f>IFERROR(__xludf.dummyfunction("""COMPUTED_VALUE"""),"CEMEI DR. PAULO MENDES")</f>
        <v>CEMEI DR. PAULO MENDES</v>
      </c>
      <c r="D11" s="3" t="str">
        <f>IFERROR(__xludf.dummyfunction("""COMPUTED_VALUE"""),"26194643")</f>
        <v>26194643</v>
      </c>
      <c r="E11" s="3" t="str">
        <f>IFERROR(__xludf.dummyfunction("""COMPUTED_VALUE"""),"INFANTIL 2")</f>
        <v>INFANTIL 2</v>
      </c>
      <c r="F11" s="3" t="str">
        <f>IFERROR(__xludf.dummyfunction("""COMPUTED_VALUE"""),"Integral")</f>
        <v>Integral</v>
      </c>
      <c r="G11" s="3" t="str">
        <f>IFERROR(__xludf.dummyfunction("""COMPUTED_VALUE"""),"Comum")</f>
        <v>Comum</v>
      </c>
      <c r="H11" s="3" t="str">
        <f>IFERROR(__xludf.dummyfunction("""COMPUTED_VALUE"""),"2")</f>
        <v>2</v>
      </c>
      <c r="I11" s="147" t="str">
        <f>IFERROR(__xludf.dummyfunction("""COMPUTED_VALUE"""),"26092920457")</f>
        <v>26092920457</v>
      </c>
      <c r="J11" s="3" t="str">
        <f>IFERROR(__xludf.dummyfunction("""COMPUTED_VALUE"""),"16/09/2026 22:07:06")</f>
        <v>16/09/2026 22:07:06</v>
      </c>
      <c r="K11" s="3" t="str">
        <f>IFERROR(__xludf.dummyfunction("""COMPUTED_VALUE"""),"Theo Antonio Belarmino Cavalcanti")</f>
        <v>Theo Antonio Belarmino Cavalcanti</v>
      </c>
      <c r="L11" s="146" t="str">
        <f>IFERROR(__xludf.dummyfunction("""COMPUTED_VALUE"""),"000.037.494-60")</f>
        <v>000.037.494-60</v>
      </c>
      <c r="M11" s="146" t="str">
        <f>IFERROR(__xludf.dummyfunction("""COMPUTED_VALUE"""),"20/09/2023")</f>
        <v>20/09/2023</v>
      </c>
      <c r="N11" s="3"/>
      <c r="O11" s="3" t="str">
        <f>IFERROR(__xludf.dummyfunction("""COMPUTED_VALUE"""),"0")</f>
        <v>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ht="13" hidden="1" spans="1:29">
      <c r="A12" s="3"/>
      <c r="B12" s="3" t="str">
        <f t="array" ref="B12">_xlfn.XLOOKUP(D12,Tabela_Dados_Esc_JAB_2026[INEP],Tabela_Dados_Esc_JAB_2026[REGIONAL],"NE",0)</f>
        <v>REGIONAL 7</v>
      </c>
      <c r="C12" s="4" t="str">
        <f>IFERROR(__xludf.dummyfunction("""COMPUTED_VALUE"""),"CEMEI DR. PAULO MENDES")</f>
        <v>CEMEI DR. PAULO MENDES</v>
      </c>
      <c r="D12" s="3" t="str">
        <f>IFERROR(__xludf.dummyfunction("""COMPUTED_VALUE"""),"26194643")</f>
        <v>26194643</v>
      </c>
      <c r="E12" s="3" t="str">
        <f>IFERROR(__xludf.dummyfunction("""COMPUTED_VALUE"""),"INFANTIL 3")</f>
        <v>INFANTIL 3</v>
      </c>
      <c r="F12" s="3" t="str">
        <f>IFERROR(__xludf.dummyfunction("""COMPUTED_VALUE"""),"Integral")</f>
        <v>Integral</v>
      </c>
      <c r="G12" s="3" t="str">
        <f>IFERROR(__xludf.dummyfunction("""COMPUTED_VALUE"""),"Comum")</f>
        <v>Comum</v>
      </c>
      <c r="H12" s="3" t="str">
        <f>IFERROR(__xludf.dummyfunction("""COMPUTED_VALUE"""),"1")</f>
        <v>1</v>
      </c>
      <c r="I12" s="147" t="str">
        <f>IFERROR(__xludf.dummyfunction("""COMPUTED_VALUE"""),"26052484301")</f>
        <v>26052484301</v>
      </c>
      <c r="J12" s="3" t="str">
        <f>IFERROR(__xludf.dummyfunction("""COMPUTED_VALUE"""),"18/05/2026 09:15:19")</f>
        <v>18/05/2026 09:15:19</v>
      </c>
      <c r="K12" s="3" t="str">
        <f>IFERROR(__xludf.dummyfunction("""COMPUTED_VALUE"""),"HELLOYSE VITÓRIA SANTOS DUARTE")</f>
        <v>HELLOYSE VITÓRIA SANTOS DUARTE</v>
      </c>
      <c r="L12" s="146" t="str">
        <f>IFERROR(__xludf.dummyfunction("""COMPUTED_VALUE"""),"184.035.244-20")</f>
        <v>184.035.244-20</v>
      </c>
      <c r="M12" s="146" t="str">
        <f>IFERROR(__xludf.dummyfunction("""COMPUTED_VALUE"""),"11/01/2023")</f>
        <v>11/01/2023</v>
      </c>
      <c r="N12" s="3"/>
      <c r="O12" s="3" t="str">
        <f>IFERROR(__xludf.dummyfunction("""COMPUTED_VALUE"""),"0")</f>
        <v>0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13" hidden="1" spans="1:29">
      <c r="A13" s="3"/>
      <c r="B13" s="3" t="str">
        <f t="array" ref="B13">_xlfn.XLOOKUP(D13,Tabela_Dados_Esc_JAB_2026[INEP],Tabela_Dados_Esc_JAB_2026[REGIONAL],"NE",0)</f>
        <v>REGIONAL 7</v>
      </c>
      <c r="C13" s="4" t="str">
        <f>IFERROR(__xludf.dummyfunction("""COMPUTED_VALUE"""),"CEMEI DR. PAULO MENDES")</f>
        <v>CEMEI DR. PAULO MENDES</v>
      </c>
      <c r="D13" s="3" t="str">
        <f>IFERROR(__xludf.dummyfunction("""COMPUTED_VALUE"""),"26194643")</f>
        <v>26194643</v>
      </c>
      <c r="E13" s="3" t="str">
        <f>IFERROR(__xludf.dummyfunction("""COMPUTED_VALUE"""),"INFANTIL 5")</f>
        <v>INFANTIL 5</v>
      </c>
      <c r="F13" s="3" t="str">
        <f>IFERROR(__xludf.dummyfunction("""COMPUTED_VALUE"""),"Vespertino/Tarde")</f>
        <v>Vespertino/Tarde</v>
      </c>
      <c r="G13" s="3" t="str">
        <f>IFERROR(__xludf.dummyfunction("""COMPUTED_VALUE"""),"Comum")</f>
        <v>Comum</v>
      </c>
      <c r="H13" s="3" t="str">
        <f>IFERROR(__xludf.dummyfunction("""COMPUTED_VALUE"""),"1")</f>
        <v>1</v>
      </c>
      <c r="I13" s="147" t="str">
        <f>IFERROR(__xludf.dummyfunction("""COMPUTED_VALUE"""),"26032246255")</f>
        <v>26032246255</v>
      </c>
      <c r="J13" s="3" t="str">
        <f>IFERROR(__xludf.dummyfunction("""COMPUTED_VALUE"""),"04/03/2026 13:11:39")</f>
        <v>04/03/2026 13:11:39</v>
      </c>
      <c r="K13" s="3" t="str">
        <f>IFERROR(__xludf.dummyfunction("""COMPUTED_VALUE"""),"DÉBORA ANA VALQUÍRIA GOMES DOS SANTOS")</f>
        <v>DÉBORA ANA VALQUÍRIA GOMES DOS SANTOS</v>
      </c>
      <c r="L13" s="146" t="str">
        <f>IFERROR(__xludf.dummyfunction("""COMPUTED_VALUE"""),"174.916.104-47")</f>
        <v>174.916.104-47</v>
      </c>
      <c r="M13" s="146" t="str">
        <f>IFERROR(__xludf.dummyfunction("""COMPUTED_VALUE"""),"12/10/2020")</f>
        <v>12/10/2020</v>
      </c>
      <c r="N13" s="3"/>
      <c r="O13" s="3" t="str">
        <f>IFERROR(__xludf.dummyfunction("""COMPUTED_VALUE"""),"0")</f>
        <v>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13" hidden="1" spans="1:29">
      <c r="A14" s="3"/>
      <c r="B14" s="3" t="str">
        <f t="array" ref="B14">_xlfn.XLOOKUP(D14,Tabela_Dados_Esc_JAB_2026[INEP],Tabela_Dados_Esc_JAB_2026[REGIONAL],"NE",0)</f>
        <v>REGIONAL 7</v>
      </c>
      <c r="C14" s="4" t="str">
        <f>IFERROR(__xludf.dummyfunction("""COMPUTED_VALUE"""),"CEMEI ELIEL EUSTAQUIO DA SILVA")</f>
        <v>CEMEI ELIEL EUSTAQUIO DA SILVA</v>
      </c>
      <c r="D14" s="3" t="str">
        <f>IFERROR(__xludf.dummyfunction("""COMPUTED_VALUE"""),"26109255")</f>
        <v>26109255</v>
      </c>
      <c r="E14" s="3" t="str">
        <f>IFERROR(__xludf.dummyfunction("""COMPUTED_VALUE"""),"INFANTIL 3")</f>
        <v>INFANTIL 3</v>
      </c>
      <c r="F14" s="3" t="str">
        <f>IFERROR(__xludf.dummyfunction("""COMPUTED_VALUE"""),"Matutino/Manhã")</f>
        <v>Matutino/Manhã</v>
      </c>
      <c r="G14" s="3" t="str">
        <f>IFERROR(__xludf.dummyfunction("""COMPUTED_VALUE"""),"Comum")</f>
        <v>Comum</v>
      </c>
      <c r="H14" s="3" t="str">
        <f>IFERROR(__xludf.dummyfunction("""COMPUTED_VALUE"""),"1")</f>
        <v>1</v>
      </c>
      <c r="I14" s="147" t="str">
        <f>IFERROR(__xludf.dummyfunction("""COMPUTED_VALUE"""),"26022224621")</f>
        <v>26022224621</v>
      </c>
      <c r="J14" s="3" t="str">
        <f>IFERROR(__xludf.dummyfunction("""COMPUTED_VALUE"""),"06/02/2026 09:17:41")</f>
        <v>06/02/2026 09:17:41</v>
      </c>
      <c r="K14" s="3" t="str">
        <f>IFERROR(__xludf.dummyfunction("""COMPUTED_VALUE"""),"JOÃO VITOR CERQUEIRA CAMPOS")</f>
        <v>JOÃO VITOR CERQUEIRA CAMPOS</v>
      </c>
      <c r="L14" s="146" t="str">
        <f>IFERROR(__xludf.dummyfunction("""COMPUTED_VALUE"""),"184.852.244-42")</f>
        <v>184.852.244-42</v>
      </c>
      <c r="M14" s="146" t="str">
        <f>IFERROR(__xludf.dummyfunction("""COMPUTED_VALUE"""),"26/03/2023")</f>
        <v>26/03/2023</v>
      </c>
      <c r="N14" s="3"/>
      <c r="O14" s="3" t="str">
        <f>IFERROR(__xludf.dummyfunction("""COMPUTED_VALUE"""),"0")</f>
        <v>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13" hidden="1" spans="1:29">
      <c r="A15" s="3"/>
      <c r="B15" s="3" t="str">
        <f t="array" ref="B15">_xlfn.XLOOKUP(D15,Tabela_Dados_Esc_JAB_2026[INEP],Tabela_Dados_Esc_JAB_2026[REGIONAL],"NE",0)</f>
        <v>REGIONAL 7</v>
      </c>
      <c r="C15" s="4" t="str">
        <f>IFERROR(__xludf.dummyfunction("""COMPUTED_VALUE"""),"CEMEI ELIEL EUSTAQUIO DA SILVA")</f>
        <v>CEMEI ELIEL EUSTAQUIO DA SILVA</v>
      </c>
      <c r="D15" s="3" t="str">
        <f>IFERROR(__xludf.dummyfunction("""COMPUTED_VALUE"""),"26109255")</f>
        <v>26109255</v>
      </c>
      <c r="E15" s="3" t="str">
        <f>IFERROR(__xludf.dummyfunction("""COMPUTED_VALUE"""),"INFANTIL 3")</f>
        <v>INFANTIL 3</v>
      </c>
      <c r="F15" s="3" t="str">
        <f>IFERROR(__xludf.dummyfunction("""COMPUTED_VALUE"""),"Matutino/Manhã")</f>
        <v>Matutino/Manhã</v>
      </c>
      <c r="G15" s="3" t="str">
        <f>IFERROR(__xludf.dummyfunction("""COMPUTED_VALUE"""),"Comum")</f>
        <v>Comum</v>
      </c>
      <c r="H15" s="3" t="str">
        <f>IFERROR(__xludf.dummyfunction("""COMPUTED_VALUE"""),"2")</f>
        <v>2</v>
      </c>
      <c r="I15" s="147" t="str">
        <f>IFERROR(__xludf.dummyfunction("""COMPUTED_VALUE"""),"26052680185")</f>
        <v>26052680185</v>
      </c>
      <c r="J15" s="3" t="str">
        <f>IFERROR(__xludf.dummyfunction("""COMPUTED_VALUE"""),"04/05/2026 08:16:17")</f>
        <v>04/05/2026 08:16:17</v>
      </c>
      <c r="K15" s="3" t="str">
        <f>IFERROR(__xludf.dummyfunction("""COMPUTED_VALUE"""),"ASAFE ALLAN DE PAULA SILVA")</f>
        <v>ASAFE ALLAN DE PAULA SILVA</v>
      </c>
      <c r="L15" s="146" t="str">
        <f>IFERROR(__xludf.dummyfunction("""COMPUTED_VALUE"""),"183.832.884-09")</f>
        <v>183.832.884-09</v>
      </c>
      <c r="M15" s="146" t="str">
        <f>IFERROR(__xludf.dummyfunction("""COMPUTED_VALUE"""),"24/12/2022")</f>
        <v>24/12/2022</v>
      </c>
      <c r="N15" s="3"/>
      <c r="O15" s="3" t="str">
        <f>IFERROR(__xludf.dummyfunction("""COMPUTED_VALUE"""),"0")</f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13" hidden="1" spans="1:29">
      <c r="A16" s="3"/>
      <c r="B16" s="3" t="str">
        <f t="array" ref="B16">_xlfn.XLOOKUP(D16,Tabela_Dados_Esc_JAB_2026[INEP],Tabela_Dados_Esc_JAB_2026[REGIONAL],"NE",0)</f>
        <v>REGIONAL 7</v>
      </c>
      <c r="C16" s="4" t="str">
        <f>IFERROR(__xludf.dummyfunction("""COMPUTED_VALUE"""),"CEMEI ELIEL EUSTAQUIO DA SILVA")</f>
        <v>CEMEI ELIEL EUSTAQUIO DA SILVA</v>
      </c>
      <c r="D16" s="3" t="str">
        <f>IFERROR(__xludf.dummyfunction("""COMPUTED_VALUE"""),"26109255")</f>
        <v>26109255</v>
      </c>
      <c r="E16" s="3" t="str">
        <f>IFERROR(__xludf.dummyfunction("""COMPUTED_VALUE"""),"INFANTIL 3")</f>
        <v>INFANTIL 3</v>
      </c>
      <c r="F16" s="3" t="str">
        <f>IFERROR(__xludf.dummyfunction("""COMPUTED_VALUE"""),"Matutino/Manhã")</f>
        <v>Matutino/Manhã</v>
      </c>
      <c r="G16" s="3" t="str">
        <f>IFERROR(__xludf.dummyfunction("""COMPUTED_VALUE"""),"Comum")</f>
        <v>Comum</v>
      </c>
      <c r="H16" s="3" t="str">
        <f>IFERROR(__xludf.dummyfunction("""COMPUTED_VALUE"""),"3")</f>
        <v>3</v>
      </c>
      <c r="I16" s="147" t="str">
        <f>IFERROR(__xludf.dummyfunction("""COMPUTED_VALUE"""),"26062196800")</f>
        <v>26062196800</v>
      </c>
      <c r="J16" s="3" t="str">
        <f>IFERROR(__xludf.dummyfunction("""COMPUTED_VALUE"""),"22/06/2026 14:09:23")</f>
        <v>22/06/2026 14:09:23</v>
      </c>
      <c r="K16" s="3" t="str">
        <f>IFERROR(__xludf.dummyfunction("""COMPUTED_VALUE"""),"Isabella Valentina dos Santos")</f>
        <v>Isabella Valentina dos Santos</v>
      </c>
      <c r="L16" s="146" t="str">
        <f>IFERROR(__xludf.dummyfunction("""COMPUTED_VALUE"""),"181.388.084-03")</f>
        <v>181.388.084-03</v>
      </c>
      <c r="M16" s="146" t="str">
        <f>IFERROR(__xludf.dummyfunction("""COMPUTED_VALUE"""),"07/04/2022")</f>
        <v>07/04/2022</v>
      </c>
      <c r="N16" s="3"/>
      <c r="O16" s="3" t="str">
        <f>IFERROR(__xludf.dummyfunction("""COMPUTED_VALUE"""),"0")</f>
        <v>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13" hidden="1" spans="1:29">
      <c r="A17" s="3"/>
      <c r="B17" s="3" t="str">
        <f t="array" ref="B17">_xlfn.XLOOKUP(D17,Tabela_Dados_Esc_JAB_2026[INEP],Tabela_Dados_Esc_JAB_2026[REGIONAL],"NE",0)</f>
        <v>REGIONAL 7</v>
      </c>
      <c r="C17" s="4" t="str">
        <f>IFERROR(__xludf.dummyfunction("""COMPUTED_VALUE"""),"CEMEI ELIEL EUSTAQUIO DA SILVA")</f>
        <v>CEMEI ELIEL EUSTAQUIO DA SILVA</v>
      </c>
      <c r="D17" s="3" t="str">
        <f>IFERROR(__xludf.dummyfunction("""COMPUTED_VALUE"""),"26109255")</f>
        <v>26109255</v>
      </c>
      <c r="E17" s="3" t="str">
        <f>IFERROR(__xludf.dummyfunction("""COMPUTED_VALUE"""),"INFANTIL 3")</f>
        <v>INFANTIL 3</v>
      </c>
      <c r="F17" s="3" t="str">
        <f>IFERROR(__xludf.dummyfunction("""COMPUTED_VALUE"""),"Matutino/Manhã")</f>
        <v>Matutino/Manhã</v>
      </c>
      <c r="G17" s="3" t="str">
        <f>IFERROR(__xludf.dummyfunction("""COMPUTED_VALUE"""),"Comum")</f>
        <v>Comum</v>
      </c>
      <c r="H17" s="3" t="str">
        <f>IFERROR(__xludf.dummyfunction("""COMPUTED_VALUE"""),"4")</f>
        <v>4</v>
      </c>
      <c r="I17" s="147" t="str">
        <f>IFERROR(__xludf.dummyfunction("""COMPUTED_VALUE"""),"26092251432")</f>
        <v>26092251432</v>
      </c>
      <c r="J17" s="3" t="str">
        <f>IFERROR(__xludf.dummyfunction("""COMPUTED_VALUE"""),"10/09/2026 09:46:29")</f>
        <v>10/09/2026 09:46:29</v>
      </c>
      <c r="K17" s="3" t="str">
        <f>IFERROR(__xludf.dummyfunction("""COMPUTED_VALUE"""),"Samuel dos Santos Pereira da Silva")</f>
        <v>Samuel dos Santos Pereira da Silva</v>
      </c>
      <c r="L17" s="146" t="str">
        <f>IFERROR(__xludf.dummyfunction("""COMPUTED_VALUE"""),"183.072.104-61")</f>
        <v>183.072.104-61</v>
      </c>
      <c r="M17" s="146" t="str">
        <f>IFERROR(__xludf.dummyfunction("""COMPUTED_VALUE"""),"08/10/2022")</f>
        <v>08/10/2022</v>
      </c>
      <c r="N17" s="3"/>
      <c r="O17" s="3" t="str">
        <f>IFERROR(__xludf.dummyfunction("""COMPUTED_VALUE"""),"0")</f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13" hidden="1" spans="1:29">
      <c r="A18" s="3"/>
      <c r="B18" s="3" t="str">
        <f t="array" ref="B18">_xlfn.XLOOKUP(D18,Tabela_Dados_Esc_JAB_2026[INEP],Tabela_Dados_Esc_JAB_2026[REGIONAL],"NE",0)</f>
        <v>REGIONAL 7</v>
      </c>
      <c r="C18" s="4" t="str">
        <f>IFERROR(__xludf.dummyfunction("""COMPUTED_VALUE"""),"CEMEI ELIEL EUSTAQUIO DA SILVA")</f>
        <v>CEMEI ELIEL EUSTAQUIO DA SILVA</v>
      </c>
      <c r="D18" s="3" t="str">
        <f>IFERROR(__xludf.dummyfunction("""COMPUTED_VALUE"""),"26109255")</f>
        <v>26109255</v>
      </c>
      <c r="E18" s="3" t="str">
        <f>IFERROR(__xludf.dummyfunction("""COMPUTED_VALUE"""),"INFANTIL 4")</f>
        <v>INFANTIL 4</v>
      </c>
      <c r="F18" s="3" t="str">
        <f>IFERROR(__xludf.dummyfunction("""COMPUTED_VALUE"""),"Matutino/Manhã")</f>
        <v>Matutino/Manhã</v>
      </c>
      <c r="G18" s="3" t="str">
        <f>IFERROR(__xludf.dummyfunction("""COMPUTED_VALUE"""),"Comum")</f>
        <v>Comum</v>
      </c>
      <c r="H18" s="3" t="str">
        <f>IFERROR(__xludf.dummyfunction("""COMPUTED_VALUE"""),"1")</f>
        <v>1</v>
      </c>
      <c r="I18" s="147" t="str">
        <f>IFERROR(__xludf.dummyfunction("""COMPUTED_VALUE"""),"26012960959")</f>
        <v>26012960959</v>
      </c>
      <c r="J18" s="3" t="str">
        <f>IFERROR(__xludf.dummyfunction("""COMPUTED_VALUE"""),"28/01/2026 10:18:39")</f>
        <v>28/01/2026 10:18:39</v>
      </c>
      <c r="K18" s="3" t="str">
        <f>IFERROR(__xludf.dummyfunction("""COMPUTED_VALUE"""),"LAYLA MANUELY DANTAS DIAS DA SILVA")</f>
        <v>LAYLA MANUELY DANTAS DIAS DA SILVA</v>
      </c>
      <c r="L18" s="146" t="str">
        <f>IFERROR(__xludf.dummyfunction("""COMPUTED_VALUE"""),"179.149.914-73")</f>
        <v>179.149.914-73</v>
      </c>
      <c r="M18" s="146" t="str">
        <f>IFERROR(__xludf.dummyfunction("""COMPUTED_VALUE"""),"01/11/2021")</f>
        <v>01/11/2021</v>
      </c>
      <c r="N18" s="3"/>
      <c r="O18" s="3" t="str">
        <f>IFERROR(__xludf.dummyfunction("""COMPUTED_VALUE"""),"0")</f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13" hidden="1" spans="1:29">
      <c r="A19" s="3"/>
      <c r="B19" s="3" t="str">
        <f t="array" ref="B19">_xlfn.XLOOKUP(D19,Tabela_Dados_Esc_JAB_2026[INEP],Tabela_Dados_Esc_JAB_2026[REGIONAL],"NE",0)</f>
        <v>REGIONAL 7</v>
      </c>
      <c r="C19" s="4" t="str">
        <f>IFERROR(__xludf.dummyfunction("""COMPUTED_VALUE"""),"CEMEI ELIEL EUSTAQUIO DA SILVA")</f>
        <v>CEMEI ELIEL EUSTAQUIO DA SILVA</v>
      </c>
      <c r="D19" s="3" t="str">
        <f>IFERROR(__xludf.dummyfunction("""COMPUTED_VALUE"""),"26109255")</f>
        <v>26109255</v>
      </c>
      <c r="E19" s="3" t="str">
        <f>IFERROR(__xludf.dummyfunction("""COMPUTED_VALUE"""),"INFANTIL 4")</f>
        <v>INFANTIL 4</v>
      </c>
      <c r="F19" s="3" t="str">
        <f>IFERROR(__xludf.dummyfunction("""COMPUTED_VALUE"""),"Matutino/Manhã")</f>
        <v>Matutino/Manhã</v>
      </c>
      <c r="G19" s="3" t="str">
        <f>IFERROR(__xludf.dummyfunction("""COMPUTED_VALUE"""),"Comum")</f>
        <v>Comum</v>
      </c>
      <c r="H19" s="3" t="str">
        <f>IFERROR(__xludf.dummyfunction("""COMPUTED_VALUE"""),"2")</f>
        <v>2</v>
      </c>
      <c r="I19" s="147" t="str">
        <f>IFERROR(__xludf.dummyfunction("""COMPUTED_VALUE"""),"26012514123")</f>
        <v>26012514123</v>
      </c>
      <c r="J19" s="3" t="str">
        <f>IFERROR(__xludf.dummyfunction("""COMPUTED_VALUE"""),"28/01/2026 10:27:27")</f>
        <v>28/01/2026 10:27:27</v>
      </c>
      <c r="K19" s="3" t="str">
        <f>IFERROR(__xludf.dummyfunction("""COMPUTED_VALUE"""),"KALEL MATHIAS SILVA DO NASCIMENTO")</f>
        <v>KALEL MATHIAS SILVA DO NASCIMENTO</v>
      </c>
      <c r="L19" s="146" t="str">
        <f>IFERROR(__xludf.dummyfunction("""COMPUTED_VALUE"""),"179.890.114-50")</f>
        <v>179.890.114-50</v>
      </c>
      <c r="M19" s="146" t="str">
        <f>IFERROR(__xludf.dummyfunction("""COMPUTED_VALUE"""),"21/11/2021")</f>
        <v>21/11/2021</v>
      </c>
      <c r="N19" s="3"/>
      <c r="O19" s="3" t="str">
        <f>IFERROR(__xludf.dummyfunction("""COMPUTED_VALUE"""),"0")</f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13" hidden="1" spans="1:29">
      <c r="A20" s="3"/>
      <c r="B20" s="3" t="str">
        <f t="array" ref="B20">_xlfn.XLOOKUP(D20,Tabela_Dados_Esc_JAB_2026[INEP],Tabela_Dados_Esc_JAB_2026[REGIONAL],"NE",0)</f>
        <v>REGIONAL 7</v>
      </c>
      <c r="C20" s="4" t="str">
        <f>IFERROR(__xludf.dummyfunction("""COMPUTED_VALUE"""),"CEMEI ELIEL EUSTAQUIO DA SILVA")</f>
        <v>CEMEI ELIEL EUSTAQUIO DA SILVA</v>
      </c>
      <c r="D20" s="3" t="str">
        <f>IFERROR(__xludf.dummyfunction("""COMPUTED_VALUE"""),"26109255")</f>
        <v>26109255</v>
      </c>
      <c r="E20" s="3" t="str">
        <f>IFERROR(__xludf.dummyfunction("""COMPUTED_VALUE"""),"INFANTIL 4")</f>
        <v>INFANTIL 4</v>
      </c>
      <c r="F20" s="3" t="str">
        <f>IFERROR(__xludf.dummyfunction("""COMPUTED_VALUE"""),"Matutino/Manhã")</f>
        <v>Matutino/Manhã</v>
      </c>
      <c r="G20" s="3" t="str">
        <f>IFERROR(__xludf.dummyfunction("""COMPUTED_VALUE"""),"Comum")</f>
        <v>Comum</v>
      </c>
      <c r="H20" s="3" t="str">
        <f>IFERROR(__xludf.dummyfunction("""COMPUTED_VALUE"""),"3")</f>
        <v>3</v>
      </c>
      <c r="I20" s="147" t="str">
        <f>IFERROR(__xludf.dummyfunction("""COMPUTED_VALUE"""),"26012851393")</f>
        <v>26012851393</v>
      </c>
      <c r="J20" s="3" t="str">
        <f>IFERROR(__xludf.dummyfunction("""COMPUTED_VALUE"""),"29/01/2026 21:02:49")</f>
        <v>29/01/2026 21:02:49</v>
      </c>
      <c r="K20" s="3" t="str">
        <f>IFERROR(__xludf.dummyfunction("""COMPUTED_VALUE"""),"BRYAN RAVI PRIMO DA SILVA")</f>
        <v>BRYAN RAVI PRIMO DA SILVA</v>
      </c>
      <c r="L20" s="146" t="str">
        <f>IFERROR(__xludf.dummyfunction("""COMPUTED_VALUE"""),"179.610.804-90")</f>
        <v>179.610.804-90</v>
      </c>
      <c r="M20" s="146" t="str">
        <f>IFERROR(__xludf.dummyfunction("""COMPUTED_VALUE"""),"12/12/2021")</f>
        <v>12/12/2021</v>
      </c>
      <c r="N20" s="3"/>
      <c r="O20" s="3" t="str">
        <f>IFERROR(__xludf.dummyfunction("""COMPUTED_VALUE"""),"0")</f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15.75" hidden="1" customHeight="1" spans="1:29">
      <c r="A21" s="3"/>
      <c r="B21" s="3" t="str">
        <f t="array" ref="B21">_xlfn.XLOOKUP(D21,Tabela_Dados_Esc_JAB_2026[INEP],Tabela_Dados_Esc_JAB_2026[REGIONAL],"NE",0)</f>
        <v>REGIONAL 7</v>
      </c>
      <c r="C21" s="4" t="str">
        <f>IFERROR(__xludf.dummyfunction("""COMPUTED_VALUE"""),"CEMEI ELIEL EUSTAQUIO DA SILVA")</f>
        <v>CEMEI ELIEL EUSTAQUIO DA SILVA</v>
      </c>
      <c r="D21" s="3" t="str">
        <f>IFERROR(__xludf.dummyfunction("""COMPUTED_VALUE"""),"26109255")</f>
        <v>26109255</v>
      </c>
      <c r="E21" s="3" t="str">
        <f>IFERROR(__xludf.dummyfunction("""COMPUTED_VALUE"""),"INFANTIL 4")</f>
        <v>INFANTIL 4</v>
      </c>
      <c r="F21" s="3" t="str">
        <f>IFERROR(__xludf.dummyfunction("""COMPUTED_VALUE"""),"Matutino/Manhã")</f>
        <v>Matutino/Manhã</v>
      </c>
      <c r="G21" s="3" t="str">
        <f>IFERROR(__xludf.dummyfunction("""COMPUTED_VALUE"""),"Comum")</f>
        <v>Comum</v>
      </c>
      <c r="H21" s="3" t="str">
        <f>IFERROR(__xludf.dummyfunction("""COMPUTED_VALUE"""),"4")</f>
        <v>4</v>
      </c>
      <c r="I21" s="147" t="str">
        <f>IFERROR(__xludf.dummyfunction("""COMPUTED_VALUE"""),"26022367185")</f>
        <v>26022367185</v>
      </c>
      <c r="J21" s="3" t="str">
        <f>IFERROR(__xludf.dummyfunction("""COMPUTED_VALUE"""),"03/02/2026 09:59:50")</f>
        <v>03/02/2026 09:59:50</v>
      </c>
      <c r="K21" s="3" t="str">
        <f>IFERROR(__xludf.dummyfunction("""COMPUTED_VALUE"""),"ANTHONY GAEL CACIANO FRANÇA VIEIRA")</f>
        <v>ANTHONY GAEL CACIANO FRANÇA VIEIRA</v>
      </c>
      <c r="L21" s="146" t="str">
        <f>IFERROR(__xludf.dummyfunction("""COMPUTED_VALUE"""),"180.577.814-59")</f>
        <v>180.577.814-59</v>
      </c>
      <c r="M21" s="146" t="str">
        <f>IFERROR(__xludf.dummyfunction("""COMPUTED_VALUE"""),"20/02/2022")</f>
        <v>20/02/2022</v>
      </c>
      <c r="N21" s="3"/>
      <c r="O21" s="3" t="str">
        <f>IFERROR(__xludf.dummyfunction("""COMPUTED_VALUE"""),"0")</f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15.75" hidden="1" customHeight="1" spans="1:29">
      <c r="A22" s="3"/>
      <c r="B22" s="3" t="str">
        <f t="array" ref="B22">_xlfn.XLOOKUP(D22,Tabela_Dados_Esc_JAB_2026[INEP],Tabela_Dados_Esc_JAB_2026[REGIONAL],"NE",0)</f>
        <v>REGIONAL 7</v>
      </c>
      <c r="C22" s="4" t="str">
        <f>IFERROR(__xludf.dummyfunction("""COMPUTED_VALUE"""),"CEMEI ELIEL EUSTAQUIO DA SILVA")</f>
        <v>CEMEI ELIEL EUSTAQUIO DA SILVA</v>
      </c>
      <c r="D22" s="3" t="str">
        <f>IFERROR(__xludf.dummyfunction("""COMPUTED_VALUE"""),"26109255")</f>
        <v>26109255</v>
      </c>
      <c r="E22" s="3" t="str">
        <f>IFERROR(__xludf.dummyfunction("""COMPUTED_VALUE"""),"INFANTIL 4")</f>
        <v>INFANTIL 4</v>
      </c>
      <c r="F22" s="3" t="str">
        <f>IFERROR(__xludf.dummyfunction("""COMPUTED_VALUE"""),"Matutino/Manhã")</f>
        <v>Matutino/Manhã</v>
      </c>
      <c r="G22" s="3" t="str">
        <f>IFERROR(__xludf.dummyfunction("""COMPUTED_VALUE"""),"Comum")</f>
        <v>Comum</v>
      </c>
      <c r="H22" s="3" t="str">
        <f>IFERROR(__xludf.dummyfunction("""COMPUTED_VALUE"""),"5")</f>
        <v>5</v>
      </c>
      <c r="I22" s="147" t="str">
        <f>IFERROR(__xludf.dummyfunction("""COMPUTED_VALUE"""),"26022615852")</f>
        <v>26022615852</v>
      </c>
      <c r="J22" s="3" t="str">
        <f>IFERROR(__xludf.dummyfunction("""COMPUTED_VALUE"""),"05/02/2026 11:30:23")</f>
        <v>05/02/2026 11:30:23</v>
      </c>
      <c r="K22" s="3" t="str">
        <f>IFERROR(__xludf.dummyfunction("""COMPUTED_VALUE"""),"JEFFERSON WILLIAM ALVES DA SILVA")</f>
        <v>JEFFERSON WILLIAM ALVES DA SILVA</v>
      </c>
      <c r="L22" s="146" t="str">
        <f>IFERROR(__xludf.dummyfunction("""COMPUTED_VALUE"""),"180.705.954-50")</f>
        <v>180.705.954-50</v>
      </c>
      <c r="M22" s="146" t="str">
        <f>IFERROR(__xludf.dummyfunction("""COMPUTED_VALUE"""),"01/03/2022")</f>
        <v>01/03/2022</v>
      </c>
      <c r="N22" s="3"/>
      <c r="O22" s="3" t="str">
        <f>IFERROR(__xludf.dummyfunction("""COMPUTED_VALUE"""),"0")</f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15.75" hidden="1" customHeight="1" spans="1:29">
      <c r="A23" s="3"/>
      <c r="B23" s="3" t="str">
        <f t="array" ref="B23">_xlfn.XLOOKUP(D23,Tabela_Dados_Esc_JAB_2026[INEP],Tabela_Dados_Esc_JAB_2026[REGIONAL],"NE",0)</f>
        <v>REGIONAL 7</v>
      </c>
      <c r="C23" s="4" t="str">
        <f>IFERROR(__xludf.dummyfunction("""COMPUTED_VALUE"""),"CEMEI ELIEL EUSTAQUIO DA SILVA")</f>
        <v>CEMEI ELIEL EUSTAQUIO DA SILVA</v>
      </c>
      <c r="D23" s="3" t="str">
        <f>IFERROR(__xludf.dummyfunction("""COMPUTED_VALUE"""),"26109255")</f>
        <v>26109255</v>
      </c>
      <c r="E23" s="3" t="str">
        <f>IFERROR(__xludf.dummyfunction("""COMPUTED_VALUE"""),"INFANTIL 4")</f>
        <v>INFANTIL 4</v>
      </c>
      <c r="F23" s="3" t="str">
        <f>IFERROR(__xludf.dummyfunction("""COMPUTED_VALUE"""),"Matutino/Manhã")</f>
        <v>Matutino/Manhã</v>
      </c>
      <c r="G23" s="3" t="str">
        <f>IFERROR(__xludf.dummyfunction("""COMPUTED_VALUE"""),"Comum")</f>
        <v>Comum</v>
      </c>
      <c r="H23" s="3" t="str">
        <f>IFERROR(__xludf.dummyfunction("""COMPUTED_VALUE"""),"6")</f>
        <v>6</v>
      </c>
      <c r="I23" s="147" t="str">
        <f>IFERROR(__xludf.dummyfunction("""COMPUTED_VALUE"""),"26022967127")</f>
        <v>26022967127</v>
      </c>
      <c r="J23" s="3" t="str">
        <f>IFERROR(__xludf.dummyfunction("""COMPUTED_VALUE"""),"05/02/2026 11:43:49")</f>
        <v>05/02/2026 11:43:49</v>
      </c>
      <c r="K23" s="3" t="str">
        <f>IFERROR(__xludf.dummyfunction("""COMPUTED_VALUE"""),"EDUARDO LUIZ PEREIRA DOS SANTOS")</f>
        <v>EDUARDO LUIZ PEREIRA DOS SANTOS</v>
      </c>
      <c r="L23" s="146" t="str">
        <f>IFERROR(__xludf.dummyfunction("""COMPUTED_VALUE"""),"180.724.984-01")</f>
        <v>180.724.984-01</v>
      </c>
      <c r="M23" s="146" t="str">
        <f>IFERROR(__xludf.dummyfunction("""COMPUTED_VALUE"""),"26/01/2022")</f>
        <v>26/01/2022</v>
      </c>
      <c r="N23" s="3"/>
      <c r="O23" s="3" t="str">
        <f>IFERROR(__xludf.dummyfunction("""COMPUTED_VALUE"""),"0")</f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15.75" hidden="1" customHeight="1" spans="1:29">
      <c r="A24" s="3"/>
      <c r="B24" s="3" t="str">
        <f t="array" ref="B24">_xlfn.XLOOKUP(D24,Tabela_Dados_Esc_JAB_2026[INEP],Tabela_Dados_Esc_JAB_2026[REGIONAL],"NE",0)</f>
        <v>REGIONAL 7</v>
      </c>
      <c r="C24" s="4" t="str">
        <f>IFERROR(__xludf.dummyfunction("""COMPUTED_VALUE"""),"CEMEI ELIEL EUSTAQUIO DA SILVA")</f>
        <v>CEMEI ELIEL EUSTAQUIO DA SILVA</v>
      </c>
      <c r="D24" s="3" t="str">
        <f>IFERROR(__xludf.dummyfunction("""COMPUTED_VALUE"""),"26109255")</f>
        <v>26109255</v>
      </c>
      <c r="E24" s="3" t="str">
        <f>IFERROR(__xludf.dummyfunction("""COMPUTED_VALUE"""),"INFANTIL 4")</f>
        <v>INFANTIL 4</v>
      </c>
      <c r="F24" s="3" t="str">
        <f>IFERROR(__xludf.dummyfunction("""COMPUTED_VALUE"""),"Matutino/Manhã")</f>
        <v>Matutino/Manhã</v>
      </c>
      <c r="G24" s="3" t="str">
        <f>IFERROR(__xludf.dummyfunction("""COMPUTED_VALUE"""),"Comum")</f>
        <v>Comum</v>
      </c>
      <c r="H24" s="3" t="str">
        <f>IFERROR(__xludf.dummyfunction("""COMPUTED_VALUE"""),"7")</f>
        <v>7</v>
      </c>
      <c r="I24" s="147" t="str">
        <f>IFERROR(__xludf.dummyfunction("""COMPUTED_VALUE"""),"26022109575")</f>
        <v>26022109575</v>
      </c>
      <c r="J24" s="3" t="str">
        <f>IFERROR(__xludf.dummyfunction("""COMPUTED_VALUE"""),"09/02/2026 08:33:33")</f>
        <v>09/02/2026 08:33:33</v>
      </c>
      <c r="K24" s="3" t="str">
        <f>IFERROR(__xludf.dummyfunction("""COMPUTED_VALUE"""),"EDERSON GABRIEL DA SILVA SANTOS GOIS")</f>
        <v>EDERSON GABRIEL DA SILVA SANTOS GOIS</v>
      </c>
      <c r="L24" s="146" t="str">
        <f>IFERROR(__xludf.dummyfunction("""COMPUTED_VALUE"""),"181.265.684-02")</f>
        <v>181.265.684-02</v>
      </c>
      <c r="M24" s="146" t="str">
        <f>IFERROR(__xludf.dummyfunction("""COMPUTED_VALUE"""),"17/02/2022")</f>
        <v>17/02/2022</v>
      </c>
      <c r="N24" s="3"/>
      <c r="O24" s="3" t="str">
        <f>IFERROR(__xludf.dummyfunction("""COMPUTED_VALUE"""),"0")</f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15.75" hidden="1" customHeight="1" spans="1:29">
      <c r="A25" s="3"/>
      <c r="B25" s="3" t="str">
        <f t="array" ref="B25">_xlfn.XLOOKUP(D25,Tabela_Dados_Esc_JAB_2026[INEP],Tabela_Dados_Esc_JAB_2026[REGIONAL],"NE",0)</f>
        <v>REGIONAL 7</v>
      </c>
      <c r="C25" s="4" t="str">
        <f>IFERROR(__xludf.dummyfunction("""COMPUTED_VALUE"""),"CEMEI ELIEL EUSTAQUIO DA SILVA")</f>
        <v>CEMEI ELIEL EUSTAQUIO DA SILVA</v>
      </c>
      <c r="D25" s="3" t="str">
        <f>IFERROR(__xludf.dummyfunction("""COMPUTED_VALUE"""),"26109255")</f>
        <v>26109255</v>
      </c>
      <c r="E25" s="3" t="str">
        <f>IFERROR(__xludf.dummyfunction("""COMPUTED_VALUE"""),"INFANTIL 4")</f>
        <v>INFANTIL 4</v>
      </c>
      <c r="F25" s="3" t="str">
        <f>IFERROR(__xludf.dummyfunction("""COMPUTED_VALUE"""),"Matutino/Manhã")</f>
        <v>Matutino/Manhã</v>
      </c>
      <c r="G25" s="3" t="str">
        <f>IFERROR(__xludf.dummyfunction("""COMPUTED_VALUE"""),"Comum")</f>
        <v>Comum</v>
      </c>
      <c r="H25" s="3" t="str">
        <f>IFERROR(__xludf.dummyfunction("""COMPUTED_VALUE"""),"8")</f>
        <v>8</v>
      </c>
      <c r="I25" s="147" t="str">
        <f>IFERROR(__xludf.dummyfunction("""COMPUTED_VALUE"""),"26022674866")</f>
        <v>26022674866</v>
      </c>
      <c r="J25" s="3" t="str">
        <f>IFERROR(__xludf.dummyfunction("""COMPUTED_VALUE"""),"10/02/2026 08:38:18")</f>
        <v>10/02/2026 08:38:18</v>
      </c>
      <c r="K25" s="3" t="str">
        <f>IFERROR(__xludf.dummyfunction("""COMPUTED_VALUE"""),"ALLÍCYA SOPHIA E SILVA RODRIGUES")</f>
        <v>ALLÍCYA SOPHIA E SILVA RODRIGUES</v>
      </c>
      <c r="L25" s="146" t="str">
        <f>IFERROR(__xludf.dummyfunction("""COMPUTED_VALUE"""),"178.859.044-90")</f>
        <v>178.859.044-90</v>
      </c>
      <c r="M25" s="146" t="str">
        <f>IFERROR(__xludf.dummyfunction("""COMPUTED_VALUE"""),"21/10/2021")</f>
        <v>21/10/2021</v>
      </c>
      <c r="N25" s="3"/>
      <c r="O25" s="3" t="str">
        <f>IFERROR(__xludf.dummyfunction("""COMPUTED_VALUE"""),"0")</f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15.75" hidden="1" customHeight="1" spans="1:29">
      <c r="A26" s="3"/>
      <c r="B26" s="3" t="str">
        <f t="array" ref="B26">_xlfn.XLOOKUP(D26,Tabela_Dados_Esc_JAB_2026[INEP],Tabela_Dados_Esc_JAB_2026[REGIONAL],"NE",0)</f>
        <v>REGIONAL 7</v>
      </c>
      <c r="C26" s="4" t="str">
        <f>IFERROR(__xludf.dummyfunction("""COMPUTED_VALUE"""),"CEMEI ELIEL EUSTAQUIO DA SILVA")</f>
        <v>CEMEI ELIEL EUSTAQUIO DA SILVA</v>
      </c>
      <c r="D26" s="3" t="str">
        <f>IFERROR(__xludf.dummyfunction("""COMPUTED_VALUE"""),"26109255")</f>
        <v>26109255</v>
      </c>
      <c r="E26" s="3" t="str">
        <f>IFERROR(__xludf.dummyfunction("""COMPUTED_VALUE"""),"INFANTIL 4")</f>
        <v>INFANTIL 4</v>
      </c>
      <c r="F26" s="3" t="str">
        <f>IFERROR(__xludf.dummyfunction("""COMPUTED_VALUE"""),"Matutino/Manhã")</f>
        <v>Matutino/Manhã</v>
      </c>
      <c r="G26" s="3" t="str">
        <f>IFERROR(__xludf.dummyfunction("""COMPUTED_VALUE"""),"Comum")</f>
        <v>Comum</v>
      </c>
      <c r="H26" s="3" t="str">
        <f>IFERROR(__xludf.dummyfunction("""COMPUTED_VALUE"""),"9")</f>
        <v>9</v>
      </c>
      <c r="I26" s="145" t="str">
        <f>IFERROR(__xludf.dummyfunction("""COMPUTED_VALUE"""),"26032523852")</f>
        <v>26032523852</v>
      </c>
      <c r="J26" s="3" t="str">
        <f>IFERROR(__xludf.dummyfunction("""COMPUTED_VALUE"""),"26/03/2026 15:15:54")</f>
        <v>26/03/2026 15:15:54</v>
      </c>
      <c r="K26" s="3" t="str">
        <f>IFERROR(__xludf.dummyfunction("""COMPUTED_VALUE"""),"YOHANNA LARISSA BARBOSA LOPES")</f>
        <v>YOHANNA LARISSA BARBOSA LOPES</v>
      </c>
      <c r="L26" s="146" t="str">
        <f>IFERROR(__xludf.dummyfunction("""COMPUTED_VALUE"""),"176.892.574-70")</f>
        <v>176.892.574-70</v>
      </c>
      <c r="M26" s="146" t="str">
        <f>IFERROR(__xludf.dummyfunction("""COMPUTED_VALUE"""),"30/05/2021")</f>
        <v>30/05/2021</v>
      </c>
      <c r="N26" s="3"/>
      <c r="O26" s="3" t="str">
        <f>IFERROR(__xludf.dummyfunction("""COMPUTED_VALUE"""),"0")</f>
        <v>0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15.75" hidden="1" customHeight="1" spans="1:29">
      <c r="A27" s="3"/>
      <c r="B27" s="3" t="str">
        <f t="array" ref="B27">_xlfn.XLOOKUP(D27,Tabela_Dados_Esc_JAB_2026[INEP],Tabela_Dados_Esc_JAB_2026[REGIONAL],"NE",0)</f>
        <v>REGIONAL 7</v>
      </c>
      <c r="C27" s="4" t="str">
        <f>IFERROR(__xludf.dummyfunction("""COMPUTED_VALUE"""),"CEMEI ELIEL EUSTAQUIO DA SILVA")</f>
        <v>CEMEI ELIEL EUSTAQUIO DA SILVA</v>
      </c>
      <c r="D27" s="3" t="str">
        <f>IFERROR(__xludf.dummyfunction("""COMPUTED_VALUE"""),"26109255")</f>
        <v>26109255</v>
      </c>
      <c r="E27" s="3" t="str">
        <f>IFERROR(__xludf.dummyfunction("""COMPUTED_VALUE"""),"INFANTIL 4")</f>
        <v>INFANTIL 4</v>
      </c>
      <c r="F27" s="3" t="str">
        <f>IFERROR(__xludf.dummyfunction("""COMPUTED_VALUE"""),"Matutino/Manhã")</f>
        <v>Matutino/Manhã</v>
      </c>
      <c r="G27" s="3" t="str">
        <f>IFERROR(__xludf.dummyfunction("""COMPUTED_VALUE"""),"Comum")</f>
        <v>Comum</v>
      </c>
      <c r="H27" s="3" t="str">
        <f>IFERROR(__xludf.dummyfunction("""COMPUTED_VALUE"""),"10")</f>
        <v>10</v>
      </c>
      <c r="I27" s="145" t="str">
        <f>IFERROR(__xludf.dummyfunction("""COMPUTED_VALUE"""),"26042354258")</f>
        <v>26042354258</v>
      </c>
      <c r="J27" s="3" t="str">
        <f>IFERROR(__xludf.dummyfunction("""COMPUTED_VALUE"""),"09/04/2026 13:55:24")</f>
        <v>09/04/2026 13:55:24</v>
      </c>
      <c r="K27" s="3" t="str">
        <f>IFERROR(__xludf.dummyfunction("""COMPUTED_VALUE"""),"DAVI EMANUEL FARIAS GINO")</f>
        <v>DAVI EMANUEL FARIAS GINO</v>
      </c>
      <c r="L27" s="146" t="str">
        <f>IFERROR(__xludf.dummyfunction("""COMPUTED_VALUE"""),"178.842.614-21")</f>
        <v>178.842.614-21</v>
      </c>
      <c r="M27" s="146" t="str">
        <f>IFERROR(__xludf.dummyfunction("""COMPUTED_VALUE"""),"16/10/2021")</f>
        <v>16/10/2021</v>
      </c>
      <c r="N27" s="3"/>
      <c r="O27" s="3" t="str">
        <f>IFERROR(__xludf.dummyfunction("""COMPUTED_VALUE"""),"0")</f>
        <v>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5.75" hidden="1" customHeight="1" spans="1:29">
      <c r="A28" s="3"/>
      <c r="B28" s="3" t="str">
        <f t="array" ref="B28">_xlfn.XLOOKUP(D28,Tabela_Dados_Esc_JAB_2026[INEP],Tabela_Dados_Esc_JAB_2026[REGIONAL],"NE",0)</f>
        <v>REGIONAL 7</v>
      </c>
      <c r="C28" s="4" t="str">
        <f>IFERROR(__xludf.dummyfunction("""COMPUTED_VALUE"""),"CEMEI ELIEL EUSTAQUIO DA SILVA")</f>
        <v>CEMEI ELIEL EUSTAQUIO DA SILVA</v>
      </c>
      <c r="D28" s="3" t="str">
        <f>IFERROR(__xludf.dummyfunction("""COMPUTED_VALUE"""),"26109255")</f>
        <v>26109255</v>
      </c>
      <c r="E28" s="3" t="str">
        <f>IFERROR(__xludf.dummyfunction("""COMPUTED_VALUE"""),"INFANTIL 4")</f>
        <v>INFANTIL 4</v>
      </c>
      <c r="F28" s="3" t="str">
        <f>IFERROR(__xludf.dummyfunction("""COMPUTED_VALUE"""),"Matutino/Manhã")</f>
        <v>Matutino/Manhã</v>
      </c>
      <c r="G28" s="3" t="str">
        <f>IFERROR(__xludf.dummyfunction("""COMPUTED_VALUE"""),"Comum")</f>
        <v>Comum</v>
      </c>
      <c r="H28" s="3" t="str">
        <f>IFERROR(__xludf.dummyfunction("""COMPUTED_VALUE"""),"11")</f>
        <v>11</v>
      </c>
      <c r="I28" s="145" t="str">
        <f>IFERROR(__xludf.dummyfunction("""COMPUTED_VALUE"""),"26052109575")</f>
        <v>26052109575</v>
      </c>
      <c r="J28" s="3" t="str">
        <f>IFERROR(__xludf.dummyfunction("""COMPUTED_VALUE"""),"27/05/2026 11:45:30")</f>
        <v>27/05/2026 11:45:30</v>
      </c>
      <c r="K28" s="3" t="str">
        <f>IFERROR(__xludf.dummyfunction("""COMPUTED_VALUE"""),"Maria Beatriz da rocha Campelo")</f>
        <v>Maria Beatriz da rocha Campelo</v>
      </c>
      <c r="L28" s="146" t="str">
        <f>IFERROR(__xludf.dummyfunction("""COMPUTED_VALUE"""),"177.413.554-06")</f>
        <v>177.413.554-06</v>
      </c>
      <c r="M28" s="146" t="str">
        <f>IFERROR(__xludf.dummyfunction("""COMPUTED_VALUE"""),"09/07/2021")</f>
        <v>09/07/2021</v>
      </c>
      <c r="N28" s="3"/>
      <c r="O28" s="3" t="str">
        <f>IFERROR(__xludf.dummyfunction("""COMPUTED_VALUE"""),"0")</f>
        <v>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5.75" hidden="1" customHeight="1" spans="1:29">
      <c r="A29" s="3"/>
      <c r="B29" s="3" t="str">
        <f t="array" ref="B29">_xlfn.XLOOKUP(D29,Tabela_Dados_Esc_JAB_2026[INEP],Tabela_Dados_Esc_JAB_2026[REGIONAL],"NE",0)</f>
        <v>REGIONAL 7</v>
      </c>
      <c r="C29" s="4" t="str">
        <f>IFERROR(__xludf.dummyfunction("""COMPUTED_VALUE"""),"CEMEI JOÃO FERNANDES VIEIRA")</f>
        <v>CEMEI JOÃO FERNANDES VIEIRA</v>
      </c>
      <c r="D29" s="3" t="str">
        <f>IFERROR(__xludf.dummyfunction("""COMPUTED_VALUE"""),"26109530")</f>
        <v>26109530</v>
      </c>
      <c r="E29" s="3" t="str">
        <f>IFERROR(__xludf.dummyfunction("""COMPUTED_VALUE"""),"INFANTIL 4")</f>
        <v>INFANTIL 4</v>
      </c>
      <c r="F29" s="3" t="str">
        <f>IFERROR(__xludf.dummyfunction("""COMPUTED_VALUE"""),"Matutino/Manhã")</f>
        <v>Matutino/Manhã</v>
      </c>
      <c r="G29" s="3" t="str">
        <f>IFERROR(__xludf.dummyfunction("""COMPUTED_VALUE"""),"Comum")</f>
        <v>Comum</v>
      </c>
      <c r="H29" s="3" t="str">
        <f>IFERROR(__xludf.dummyfunction("""COMPUTED_VALUE"""),"1")</f>
        <v>1</v>
      </c>
      <c r="I29" s="145" t="str">
        <f>IFERROR(__xludf.dummyfunction("""COMPUTED_VALUE"""),"26012511040")</f>
        <v>26012511040</v>
      </c>
      <c r="J29" s="3" t="str">
        <f>IFERROR(__xludf.dummyfunction("""COMPUTED_VALUE"""),"28/01/2026 08:40:52")</f>
        <v>28/01/2026 08:40:52</v>
      </c>
      <c r="K29" s="3" t="str">
        <f>IFERROR(__xludf.dummyfunction("""COMPUTED_VALUE"""),"VITORIA ALVES BELO DA SILVA")</f>
        <v>VITORIA ALVES BELO DA SILVA</v>
      </c>
      <c r="L29" s="146" t="str">
        <f>IFERROR(__xludf.dummyfunction("""COMPUTED_VALUE"""),"177.337.994-14")</f>
        <v>177.337.994-14</v>
      </c>
      <c r="M29" s="146" t="str">
        <f>IFERROR(__xludf.dummyfunction("""COMPUTED_VALUE"""),"05/07/2021")</f>
        <v>05/07/2021</v>
      </c>
      <c r="N29" s="3"/>
      <c r="O29" s="3" t="str">
        <f>IFERROR(__xludf.dummyfunction("""COMPUTED_VALUE"""),"0")</f>
        <v>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5.75" hidden="1" customHeight="1" spans="1:29">
      <c r="A30" s="3"/>
      <c r="B30" s="3" t="str">
        <f t="array" ref="B30">_xlfn.XLOOKUP(D30,Tabela_Dados_Esc_JAB_2026[INEP],Tabela_Dados_Esc_JAB_2026[REGIONAL],"NE",0)</f>
        <v>REGIONAL 7</v>
      </c>
      <c r="C30" s="4" t="str">
        <f>IFERROR(__xludf.dummyfunction("""COMPUTED_VALUE"""),"CEMEI JOÃO FERNANDES VIEIRA")</f>
        <v>CEMEI JOÃO FERNANDES VIEIRA</v>
      </c>
      <c r="D30" s="3" t="str">
        <f>IFERROR(__xludf.dummyfunction("""COMPUTED_VALUE"""),"26109530")</f>
        <v>26109530</v>
      </c>
      <c r="E30" s="3" t="str">
        <f>IFERROR(__xludf.dummyfunction("""COMPUTED_VALUE"""),"INFANTIL 4")</f>
        <v>INFANTIL 4</v>
      </c>
      <c r="F30" s="3" t="str">
        <f>IFERROR(__xludf.dummyfunction("""COMPUTED_VALUE"""),"Matutino/Manhã")</f>
        <v>Matutino/Manhã</v>
      </c>
      <c r="G30" s="3" t="str">
        <f>IFERROR(__xludf.dummyfunction("""COMPUTED_VALUE"""),"Comum")</f>
        <v>Comum</v>
      </c>
      <c r="H30" s="3" t="str">
        <f>IFERROR(__xludf.dummyfunction("""COMPUTED_VALUE"""),"2")</f>
        <v>2</v>
      </c>
      <c r="I30" s="145" t="str">
        <f>IFERROR(__xludf.dummyfunction("""COMPUTED_VALUE"""),"26022386245")</f>
        <v>26022386245</v>
      </c>
      <c r="J30" s="3" t="str">
        <f>IFERROR(__xludf.dummyfunction("""COMPUTED_VALUE"""),"04/02/2026 10:08:37")</f>
        <v>04/02/2026 10:08:37</v>
      </c>
      <c r="K30" s="3" t="str">
        <f>IFERROR(__xludf.dummyfunction("""COMPUTED_VALUE"""),"MARIA VALLENTHINA SOPHIA NASCIMENTO")</f>
        <v>MARIA VALLENTHINA SOPHIA NASCIMENTO</v>
      </c>
      <c r="L30" s="146" t="str">
        <f>IFERROR(__xludf.dummyfunction("""COMPUTED_VALUE"""),"180.367.124-66")</f>
        <v>180.367.124-66</v>
      </c>
      <c r="M30" s="146" t="str">
        <f>IFERROR(__xludf.dummyfunction("""COMPUTED_VALUE"""),"04/02/2022")</f>
        <v>04/02/2022</v>
      </c>
      <c r="N30" s="3"/>
      <c r="O30" s="3" t="str">
        <f>IFERROR(__xludf.dummyfunction("""COMPUTED_VALUE"""),"0")</f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ht="15.75" hidden="1" customHeight="1" spans="1:29">
      <c r="A31" s="3"/>
      <c r="B31" s="3" t="str">
        <f t="array" ref="B31">_xlfn.XLOOKUP(D31,Tabela_Dados_Esc_JAB_2026[INEP],Tabela_Dados_Esc_JAB_2026[REGIONAL],"NE",0)</f>
        <v>REGIONAL 7</v>
      </c>
      <c r="C31" s="4" t="str">
        <f>IFERROR(__xludf.dummyfunction("""COMPUTED_VALUE"""),"CEMEI JOÃO FERNANDES VIEIRA")</f>
        <v>CEMEI JOÃO FERNANDES VIEIRA</v>
      </c>
      <c r="D31" s="3" t="str">
        <f>IFERROR(__xludf.dummyfunction("""COMPUTED_VALUE"""),"26109530")</f>
        <v>26109530</v>
      </c>
      <c r="E31" s="3" t="str">
        <f>IFERROR(__xludf.dummyfunction("""COMPUTED_VALUE"""),"INFANTIL 4")</f>
        <v>INFANTIL 4</v>
      </c>
      <c r="F31" s="3" t="str">
        <f>IFERROR(__xludf.dummyfunction("""COMPUTED_VALUE"""),"Vespertino/Tarde")</f>
        <v>Vespertino/Tarde</v>
      </c>
      <c r="G31" s="3" t="str">
        <f>IFERROR(__xludf.dummyfunction("""COMPUTED_VALUE"""),"Comum")</f>
        <v>Comum</v>
      </c>
      <c r="H31" s="3" t="str">
        <f>IFERROR(__xludf.dummyfunction("""COMPUTED_VALUE"""),"1")</f>
        <v>1</v>
      </c>
      <c r="I31" s="145" t="str">
        <f>IFERROR(__xludf.dummyfunction("""COMPUTED_VALUE"""),"26012971328")</f>
        <v>26012971328</v>
      </c>
      <c r="J31" s="3" t="str">
        <f>IFERROR(__xludf.dummyfunction("""COMPUTED_VALUE"""),"29/01/2026 12:10:37")</f>
        <v>29/01/2026 12:10:37</v>
      </c>
      <c r="K31" s="3" t="str">
        <f>IFERROR(__xludf.dummyfunction("""COMPUTED_VALUE"""),"MARIA CLARA DA SILVA")</f>
        <v>MARIA CLARA DA SILVA</v>
      </c>
      <c r="L31" s="146" t="str">
        <f>IFERROR(__xludf.dummyfunction("""COMPUTED_VALUE"""),"177.832.344-88")</f>
        <v>177.832.344-88</v>
      </c>
      <c r="M31" s="146" t="str">
        <f>IFERROR(__xludf.dummyfunction("""COMPUTED_VALUE"""),"30/04/2021")</f>
        <v>30/04/2021</v>
      </c>
      <c r="N31" s="3"/>
      <c r="O31" s="3" t="str">
        <f>IFERROR(__xludf.dummyfunction("""COMPUTED_VALUE"""),"0")</f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ht="15.75" hidden="1" customHeight="1" spans="1:29">
      <c r="A32" s="3"/>
      <c r="B32" s="3" t="str">
        <f t="array" ref="B32">_xlfn.XLOOKUP(D32,Tabela_Dados_Esc_JAB_2026[INEP],Tabela_Dados_Esc_JAB_2026[REGIONAL],"NE",0)</f>
        <v>REGIONAL 7</v>
      </c>
      <c r="C32" s="4" t="str">
        <f>IFERROR(__xludf.dummyfunction("""COMPUTED_VALUE"""),"CEMEI JOÃO FERNANDES VIEIRA")</f>
        <v>CEMEI JOÃO FERNANDES VIEIRA</v>
      </c>
      <c r="D32" s="3" t="str">
        <f>IFERROR(__xludf.dummyfunction("""COMPUTED_VALUE"""),"26109530")</f>
        <v>26109530</v>
      </c>
      <c r="E32" s="3" t="str">
        <f>IFERROR(__xludf.dummyfunction("""COMPUTED_VALUE"""),"INFANTIL 5")</f>
        <v>INFANTIL 5</v>
      </c>
      <c r="F32" s="3" t="str">
        <f>IFERROR(__xludf.dummyfunction("""COMPUTED_VALUE"""),"Matutino/Manhã")</f>
        <v>Matutino/Manhã</v>
      </c>
      <c r="G32" s="3" t="str">
        <f>IFERROR(__xludf.dummyfunction("""COMPUTED_VALUE"""),"Comum")</f>
        <v>Comum</v>
      </c>
      <c r="H32" s="3" t="str">
        <f>IFERROR(__xludf.dummyfunction("""COMPUTED_VALUE"""),"1")</f>
        <v>1</v>
      </c>
      <c r="I32" s="145" t="str">
        <f>IFERROR(__xludf.dummyfunction("""COMPUTED_VALUE"""),"26022172975")</f>
        <v>26022172975</v>
      </c>
      <c r="J32" s="3" t="str">
        <f>IFERROR(__xludf.dummyfunction("""COMPUTED_VALUE"""),"02/02/2026 08:05:51")</f>
        <v>02/02/2026 08:05:51</v>
      </c>
      <c r="K32" s="3" t="str">
        <f>IFERROR(__xludf.dummyfunction("""COMPUTED_VALUE"""),"GUILHERME BELO DA SILVA")</f>
        <v>GUILHERME BELO DA SILVA</v>
      </c>
      <c r="L32" s="146" t="str">
        <f>IFERROR(__xludf.dummyfunction("""COMPUTED_VALUE"""),"171.947.514-88")</f>
        <v>171.947.514-88</v>
      </c>
      <c r="M32" s="146" t="str">
        <f>IFERROR(__xludf.dummyfunction("""COMPUTED_VALUE"""),"21/05/2020")</f>
        <v>21/05/2020</v>
      </c>
      <c r="N32" s="3"/>
      <c r="O32" s="3" t="str">
        <f>IFERROR(__xludf.dummyfunction("""COMPUTED_VALUE"""),"0")</f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5.75" hidden="1" customHeight="1" spans="1:29">
      <c r="A33" s="3"/>
      <c r="B33" s="3" t="str">
        <f t="array" ref="B33">_xlfn.XLOOKUP(D33,Tabela_Dados_Esc_JAB_2026[INEP],Tabela_Dados_Esc_JAB_2026[REGIONAL],"NE",0)</f>
        <v>REGIONAL 6</v>
      </c>
      <c r="C33" s="4" t="str">
        <f>IFERROR(__xludf.dummyfunction("""COMPUTED_VALUE"""),"CEMEI LIGIA ARAUJO DE OLIVEIRA")</f>
        <v>CEMEI LIGIA ARAUJO DE OLIVEIRA</v>
      </c>
      <c r="D33" s="3" t="str">
        <f>IFERROR(__xludf.dummyfunction("""COMPUTED_VALUE"""),"26191300")</f>
        <v>26191300</v>
      </c>
      <c r="E33" s="3" t="str">
        <f>IFERROR(__xludf.dummyfunction("""COMPUTED_VALUE"""),"INFANTIL 1")</f>
        <v>INFANTIL 1</v>
      </c>
      <c r="F33" s="3" t="str">
        <f>IFERROR(__xludf.dummyfunction("""COMPUTED_VALUE"""),"Integral")</f>
        <v>Integral</v>
      </c>
      <c r="G33" s="3" t="str">
        <f>IFERROR(__xludf.dummyfunction("""COMPUTED_VALUE"""),"Comum")</f>
        <v>Comum</v>
      </c>
      <c r="H33" s="3" t="str">
        <f>IFERROR(__xludf.dummyfunction("""COMPUTED_VALUE"""),"1")</f>
        <v>1</v>
      </c>
      <c r="I33" s="147" t="str">
        <f>IFERROR(__xludf.dummyfunction("""COMPUTED_VALUE"""),"26032957457")</f>
        <v>26032957457</v>
      </c>
      <c r="J33" s="3" t="str">
        <f>IFERROR(__xludf.dummyfunction("""COMPUTED_VALUE"""),"09/03/2026 17:29:00")</f>
        <v>09/03/2026 17:29:00</v>
      </c>
      <c r="K33" s="3" t="str">
        <f>IFERROR(__xludf.dummyfunction("""COMPUTED_VALUE"""),"MIGUEL DE CARVALHO MELO CARDOSO")</f>
        <v>MIGUEL DE CARVALHO MELO CARDOSO</v>
      </c>
      <c r="L33" s="146" t="str">
        <f>IFERROR(__xludf.dummyfunction("""COMPUTED_VALUE"""),"003.288.894-58")</f>
        <v>003.288.894-58</v>
      </c>
      <c r="M33" s="146" t="str">
        <f>IFERROR(__xludf.dummyfunction("""COMPUTED_VALUE"""),"21/05/2024")</f>
        <v>21/05/2024</v>
      </c>
      <c r="N33" s="3"/>
      <c r="O33" s="3" t="str">
        <f>IFERROR(__xludf.dummyfunction("""COMPUTED_VALUE"""),"0")</f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ht="15.75" hidden="1" customHeight="1" spans="1:29">
      <c r="A34" s="3"/>
      <c r="B34" s="3" t="str">
        <f t="array" ref="B34">_xlfn.XLOOKUP(D34,Tabela_Dados_Esc_JAB_2026[INEP],Tabela_Dados_Esc_JAB_2026[REGIONAL],"NE",0)</f>
        <v>REGIONAL 6</v>
      </c>
      <c r="C34" s="4" t="str">
        <f>IFERROR(__xludf.dummyfunction("""COMPUTED_VALUE"""),"CEMEI LIGIA ARAUJO DE OLIVEIRA")</f>
        <v>CEMEI LIGIA ARAUJO DE OLIVEIRA</v>
      </c>
      <c r="D34" s="3" t="str">
        <f>IFERROR(__xludf.dummyfunction("""COMPUTED_VALUE"""),"26191300")</f>
        <v>26191300</v>
      </c>
      <c r="E34" s="3" t="str">
        <f>IFERROR(__xludf.dummyfunction("""COMPUTED_VALUE"""),"INFANTIL 1")</f>
        <v>INFANTIL 1</v>
      </c>
      <c r="F34" s="3" t="str">
        <f>IFERROR(__xludf.dummyfunction("""COMPUTED_VALUE"""),"Integral")</f>
        <v>Integral</v>
      </c>
      <c r="G34" s="3" t="str">
        <f>IFERROR(__xludf.dummyfunction("""COMPUTED_VALUE"""),"Comum")</f>
        <v>Comum</v>
      </c>
      <c r="H34" s="3" t="str">
        <f>IFERROR(__xludf.dummyfunction("""COMPUTED_VALUE"""),"2")</f>
        <v>2</v>
      </c>
      <c r="I34" s="147" t="str">
        <f>IFERROR(__xludf.dummyfunction("""COMPUTED_VALUE"""),"26032662209")</f>
        <v>26032662209</v>
      </c>
      <c r="J34" s="3" t="str">
        <f>IFERROR(__xludf.dummyfunction("""COMPUTED_VALUE"""),"23/03/2026 19:01:28")</f>
        <v>23/03/2026 19:01:28</v>
      </c>
      <c r="K34" s="3" t="str">
        <f>IFERROR(__xludf.dummyfunction("""COMPUTED_VALUE"""),"LIAN SALAZAR SERNA")</f>
        <v>LIAN SALAZAR SERNA</v>
      </c>
      <c r="L34" s="146" t="str">
        <f>IFERROR(__xludf.dummyfunction("""COMPUTED_VALUE"""),"003.732.314-82")</f>
        <v>003.732.314-82</v>
      </c>
      <c r="M34" s="146" t="str">
        <f>IFERROR(__xludf.dummyfunction("""COMPUTED_VALUE"""),"15/05/2024")</f>
        <v>15/05/2024</v>
      </c>
      <c r="N34" s="3"/>
      <c r="O34" s="3" t="str">
        <f>IFERROR(__xludf.dummyfunction("""COMPUTED_VALUE"""),"0")</f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ht="15.75" hidden="1" customHeight="1" spans="1:29">
      <c r="A35" s="3"/>
      <c r="B35" s="3" t="str">
        <f t="array" ref="B35">_xlfn.XLOOKUP(D35,Tabela_Dados_Esc_JAB_2026[INEP],Tabela_Dados_Esc_JAB_2026[REGIONAL],"NE",0)</f>
        <v>REGIONAL 6</v>
      </c>
      <c r="C35" s="4" t="str">
        <f>IFERROR(__xludf.dummyfunction("""COMPUTED_VALUE"""),"CEMEI LIGIA ARAUJO DE OLIVEIRA")</f>
        <v>CEMEI LIGIA ARAUJO DE OLIVEIRA</v>
      </c>
      <c r="D35" s="3" t="str">
        <f>IFERROR(__xludf.dummyfunction("""COMPUTED_VALUE"""),"26191300")</f>
        <v>26191300</v>
      </c>
      <c r="E35" s="3" t="str">
        <f>IFERROR(__xludf.dummyfunction("""COMPUTED_VALUE"""),"INFANTIL 1")</f>
        <v>INFANTIL 1</v>
      </c>
      <c r="F35" s="3" t="str">
        <f>IFERROR(__xludf.dummyfunction("""COMPUTED_VALUE"""),"Integral")</f>
        <v>Integral</v>
      </c>
      <c r="G35" s="3" t="str">
        <f>IFERROR(__xludf.dummyfunction("""COMPUTED_VALUE"""),"Comum")</f>
        <v>Comum</v>
      </c>
      <c r="H35" s="3" t="str">
        <f>IFERROR(__xludf.dummyfunction("""COMPUTED_VALUE"""),"3")</f>
        <v>3</v>
      </c>
      <c r="I35" s="147" t="str">
        <f>IFERROR(__xludf.dummyfunction("""COMPUTED_VALUE"""),"26082426504")</f>
        <v>26082426504</v>
      </c>
      <c r="J35" s="3" t="str">
        <f>IFERROR(__xludf.dummyfunction("""COMPUTED_VALUE"""),"25/08/2026 13:04:30")</f>
        <v>25/08/2026 13:04:30</v>
      </c>
      <c r="K35" s="3" t="str">
        <f>IFERROR(__xludf.dummyfunction("""COMPUTED_VALUE"""),"Lucca ravi do santos ferraz")</f>
        <v>Lucca ravi do santos ferraz</v>
      </c>
      <c r="L35" s="146" t="str">
        <f>IFERROR(__xludf.dummyfunction("""COMPUTED_VALUE"""),"037.044.904-58")</f>
        <v>037.044.904-58</v>
      </c>
      <c r="M35" s="146" t="str">
        <f>IFERROR(__xludf.dummyfunction("""COMPUTED_VALUE"""),"26/12/2025")</f>
        <v>26/12/2025</v>
      </c>
      <c r="N35" s="3"/>
      <c r="O35" s="3" t="str">
        <f>IFERROR(__xludf.dummyfunction("""COMPUTED_VALUE"""),"0")</f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15.75" hidden="1" customHeight="1" spans="1:29">
      <c r="A36" s="3"/>
      <c r="B36" s="3" t="str">
        <f t="array" ref="B36">_xlfn.XLOOKUP(D36,Tabela_Dados_Esc_JAB_2026[INEP],Tabela_Dados_Esc_JAB_2026[REGIONAL],"NE",0)</f>
        <v>REGIONAL 6</v>
      </c>
      <c r="C36" s="4" t="str">
        <f>IFERROR(__xludf.dummyfunction("""COMPUTED_VALUE"""),"CEMEI LIGIA ARAUJO DE OLIVEIRA")</f>
        <v>CEMEI LIGIA ARAUJO DE OLIVEIRA</v>
      </c>
      <c r="D36" s="3" t="str">
        <f>IFERROR(__xludf.dummyfunction("""COMPUTED_VALUE"""),"26191300")</f>
        <v>26191300</v>
      </c>
      <c r="E36" s="3" t="str">
        <f>IFERROR(__xludf.dummyfunction("""COMPUTED_VALUE"""),"INFANTIL 1")</f>
        <v>INFANTIL 1</v>
      </c>
      <c r="F36" s="3" t="str">
        <f>IFERROR(__xludf.dummyfunction("""COMPUTED_VALUE"""),"Integral")</f>
        <v>Integral</v>
      </c>
      <c r="G36" s="3" t="str">
        <f>IFERROR(__xludf.dummyfunction("""COMPUTED_VALUE"""),"Comum")</f>
        <v>Comum</v>
      </c>
      <c r="H36" s="3" t="str">
        <f>IFERROR(__xludf.dummyfunction("""COMPUTED_VALUE"""),"4")</f>
        <v>4</v>
      </c>
      <c r="I36" s="147" t="str">
        <f>IFERROR(__xludf.dummyfunction("""COMPUTED_VALUE"""),"26082015595")</f>
        <v>26082015595</v>
      </c>
      <c r="J36" s="3" t="str">
        <f>IFERROR(__xludf.dummyfunction("""COMPUTED_VALUE"""),"29/08/2026 22:31:44")</f>
        <v>29/08/2026 22:31:44</v>
      </c>
      <c r="K36" s="3" t="str">
        <f>IFERROR(__xludf.dummyfunction("""COMPUTED_VALUE"""),"Benício Alves Silva")</f>
        <v>Benício Alves Silva</v>
      </c>
      <c r="L36" s="146" t="str">
        <f>IFERROR(__xludf.dummyfunction("""COMPUTED_VALUE"""),"007.002.114-70")</f>
        <v>007.002.114-70</v>
      </c>
      <c r="M36" s="146" t="str">
        <f>IFERROR(__xludf.dummyfunction("""COMPUTED_VALUE"""),"05/08/2025")</f>
        <v>05/08/2025</v>
      </c>
      <c r="N36" s="3"/>
      <c r="O36" s="3" t="str">
        <f>IFERROR(__xludf.dummyfunction("""COMPUTED_VALUE"""),"0")</f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ht="15.75" hidden="1" customHeight="1" spans="1:29">
      <c r="A37" s="3"/>
      <c r="B37" s="3" t="str">
        <f t="array" ref="B37">_xlfn.XLOOKUP(D37,Tabela_Dados_Esc_JAB_2026[INEP],Tabela_Dados_Esc_JAB_2026[REGIONAL],"NE",0)</f>
        <v>REGIONAL 6</v>
      </c>
      <c r="C37" s="4" t="str">
        <f>IFERROR(__xludf.dummyfunction("""COMPUTED_VALUE"""),"CEMEI LIGIA ARAUJO DE OLIVEIRA")</f>
        <v>CEMEI LIGIA ARAUJO DE OLIVEIRA</v>
      </c>
      <c r="D37" s="3" t="str">
        <f>IFERROR(__xludf.dummyfunction("""COMPUTED_VALUE"""),"26191300")</f>
        <v>26191300</v>
      </c>
      <c r="E37" s="3" t="str">
        <f>IFERROR(__xludf.dummyfunction("""COMPUTED_VALUE"""),"INFANTIL 2")</f>
        <v>INFANTIL 2</v>
      </c>
      <c r="F37" s="3" t="str">
        <f>IFERROR(__xludf.dummyfunction("""COMPUTED_VALUE"""),"Integral")</f>
        <v>Integral</v>
      </c>
      <c r="G37" s="3" t="str">
        <f>IFERROR(__xludf.dummyfunction("""COMPUTED_VALUE"""),"Comum")</f>
        <v>Comum</v>
      </c>
      <c r="H37" s="3" t="str">
        <f>IFERROR(__xludf.dummyfunction("""COMPUTED_VALUE"""),"1")</f>
        <v>1</v>
      </c>
      <c r="I37" s="147" t="str">
        <f>IFERROR(__xludf.dummyfunction("""COMPUTED_VALUE"""),"26012747238")</f>
        <v>26012747238</v>
      </c>
      <c r="J37" s="3" t="str">
        <f>IFERROR(__xludf.dummyfunction("""COMPUTED_VALUE"""),"28/01/2026 08:07:40")</f>
        <v>28/01/2026 08:07:40</v>
      </c>
      <c r="K37" s="3" t="str">
        <f>IFERROR(__xludf.dummyfunction("""COMPUTED_VALUE"""),"ÍCARO MIGUEL ESPÍNDOLA DA SILVA")</f>
        <v>ÍCARO MIGUEL ESPÍNDOLA DA SILVA</v>
      </c>
      <c r="L37" s="146" t="str">
        <f>IFERROR(__xludf.dummyfunction("""COMPUTED_VALUE"""),"001.566.454-67")</f>
        <v>001.566.454-67</v>
      </c>
      <c r="M37" s="146" t="str">
        <f>IFERROR(__xludf.dummyfunction("""COMPUTED_VALUE"""),"19/08/2023")</f>
        <v>19/08/2023</v>
      </c>
      <c r="N37" s="3"/>
      <c r="O37" s="3" t="str">
        <f>IFERROR(__xludf.dummyfunction("""COMPUTED_VALUE"""),"0")</f>
        <v>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ht="15.75" hidden="1" customHeight="1" spans="1:29">
      <c r="A38" s="3"/>
      <c r="B38" s="3" t="str">
        <f t="array" ref="B38">_xlfn.XLOOKUP(D38,Tabela_Dados_Esc_JAB_2026[INEP],Tabela_Dados_Esc_JAB_2026[REGIONAL],"NE",0)</f>
        <v>REGIONAL 6</v>
      </c>
      <c r="C38" s="4" t="str">
        <f>IFERROR(__xludf.dummyfunction("""COMPUTED_VALUE"""),"CEMEI LIGIA ARAUJO DE OLIVEIRA")</f>
        <v>CEMEI LIGIA ARAUJO DE OLIVEIRA</v>
      </c>
      <c r="D38" s="3" t="str">
        <f>IFERROR(__xludf.dummyfunction("""COMPUTED_VALUE"""),"26191300")</f>
        <v>26191300</v>
      </c>
      <c r="E38" s="3" t="str">
        <f>IFERROR(__xludf.dummyfunction("""COMPUTED_VALUE"""),"INFANTIL 2")</f>
        <v>INFANTIL 2</v>
      </c>
      <c r="F38" s="3" t="str">
        <f>IFERROR(__xludf.dummyfunction("""COMPUTED_VALUE"""),"Integral")</f>
        <v>Integral</v>
      </c>
      <c r="G38" s="3" t="str">
        <f>IFERROR(__xludf.dummyfunction("""COMPUTED_VALUE"""),"Comum")</f>
        <v>Comum</v>
      </c>
      <c r="H38" s="3" t="str">
        <f>IFERROR(__xludf.dummyfunction("""COMPUTED_VALUE"""),"2")</f>
        <v>2</v>
      </c>
      <c r="I38" s="147" t="str">
        <f>IFERROR(__xludf.dummyfunction("""COMPUTED_VALUE"""),"26012677600")</f>
        <v>26012677600</v>
      </c>
      <c r="J38" s="3" t="str">
        <f>IFERROR(__xludf.dummyfunction("""COMPUTED_VALUE"""),"29/01/2026 10:35:38")</f>
        <v>29/01/2026 10:35:38</v>
      </c>
      <c r="K38" s="3" t="str">
        <f>IFERROR(__xludf.dummyfunction("""COMPUTED_VALUE"""),"OLIVER HEITOR LINS LIRA")</f>
        <v>OLIVER HEITOR LINS LIRA</v>
      </c>
      <c r="L38" s="146" t="str">
        <f>IFERROR(__xludf.dummyfunction("""COMPUTED_VALUE"""),"185.479.534-18")</f>
        <v>185.479.534-18</v>
      </c>
      <c r="M38" s="146" t="str">
        <f>IFERROR(__xludf.dummyfunction("""COMPUTED_VALUE"""),"27/05/2023")</f>
        <v>27/05/2023</v>
      </c>
      <c r="N38" s="3"/>
      <c r="O38" s="3" t="str">
        <f>IFERROR(__xludf.dummyfunction("""COMPUTED_VALUE"""),"0")</f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ht="15.75" hidden="1" customHeight="1" spans="1:29">
      <c r="A39" s="3"/>
      <c r="B39" s="3" t="str">
        <f t="array" ref="B39">_xlfn.XLOOKUP(D39,Tabela_Dados_Esc_JAB_2026[INEP],Tabela_Dados_Esc_JAB_2026[REGIONAL],"NE",0)</f>
        <v>REGIONAL 6</v>
      </c>
      <c r="C39" s="4" t="str">
        <f>IFERROR(__xludf.dummyfunction("""COMPUTED_VALUE"""),"CEMEI LIGIA ARAUJO DE OLIVEIRA")</f>
        <v>CEMEI LIGIA ARAUJO DE OLIVEIRA</v>
      </c>
      <c r="D39" s="3" t="str">
        <f>IFERROR(__xludf.dummyfunction("""COMPUTED_VALUE"""),"26191300")</f>
        <v>26191300</v>
      </c>
      <c r="E39" s="3" t="str">
        <f>IFERROR(__xludf.dummyfunction("""COMPUTED_VALUE"""),"INFANTIL 2")</f>
        <v>INFANTIL 2</v>
      </c>
      <c r="F39" s="3" t="str">
        <f>IFERROR(__xludf.dummyfunction("""COMPUTED_VALUE"""),"Integral")</f>
        <v>Integral</v>
      </c>
      <c r="G39" s="3" t="str">
        <f>IFERROR(__xludf.dummyfunction("""COMPUTED_VALUE"""),"Comum")</f>
        <v>Comum</v>
      </c>
      <c r="H39" s="3" t="str">
        <f>IFERROR(__xludf.dummyfunction("""COMPUTED_VALUE"""),"3")</f>
        <v>3</v>
      </c>
      <c r="I39" s="147" t="str">
        <f>IFERROR(__xludf.dummyfunction("""COMPUTED_VALUE"""),"26032167672")</f>
        <v>26032167672</v>
      </c>
      <c r="J39" s="3" t="str">
        <f>IFERROR(__xludf.dummyfunction("""COMPUTED_VALUE"""),"11/03/2026 10:19:05")</f>
        <v>11/03/2026 10:19:05</v>
      </c>
      <c r="K39" s="3" t="str">
        <f>IFERROR(__xludf.dummyfunction("""COMPUTED_VALUE"""),"ALISSON GABRIEL DOS SANTOS SILVA")</f>
        <v>ALISSON GABRIEL DOS SANTOS SILVA</v>
      </c>
      <c r="L39" s="146" t="str">
        <f>IFERROR(__xludf.dummyfunction("""COMPUTED_VALUE"""),"001.878.044-00")</f>
        <v>001.878.044-00</v>
      </c>
      <c r="M39" s="146" t="str">
        <f>IFERROR(__xludf.dummyfunction("""COMPUTED_VALUE"""),"30/12/2023")</f>
        <v>30/12/2023</v>
      </c>
      <c r="N39" s="3"/>
      <c r="O39" s="3" t="str">
        <f>IFERROR(__xludf.dummyfunction("""COMPUTED_VALUE"""),"0")</f>
        <v>0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ht="15.75" hidden="1" customHeight="1" spans="1:29">
      <c r="A40" s="3"/>
      <c r="B40" s="3" t="str">
        <f t="array" ref="B40">_xlfn.XLOOKUP(D40,Tabela_Dados_Esc_JAB_2026[INEP],Tabela_Dados_Esc_JAB_2026[REGIONAL],"NE",0)</f>
        <v>REGIONAL 6</v>
      </c>
      <c r="C40" s="4" t="str">
        <f>IFERROR(__xludf.dummyfunction("""COMPUTED_VALUE"""),"CEMEI LIGIA ARAUJO DE OLIVEIRA")</f>
        <v>CEMEI LIGIA ARAUJO DE OLIVEIRA</v>
      </c>
      <c r="D40" s="3" t="str">
        <f>IFERROR(__xludf.dummyfunction("""COMPUTED_VALUE"""),"26191300")</f>
        <v>26191300</v>
      </c>
      <c r="E40" s="3" t="str">
        <f>IFERROR(__xludf.dummyfunction("""COMPUTED_VALUE"""),"INFANTIL 2")</f>
        <v>INFANTIL 2</v>
      </c>
      <c r="F40" s="3" t="str">
        <f>IFERROR(__xludf.dummyfunction("""COMPUTED_VALUE"""),"Integral")</f>
        <v>Integral</v>
      </c>
      <c r="G40" s="3" t="str">
        <f>IFERROR(__xludf.dummyfunction("""COMPUTED_VALUE"""),"Comum")</f>
        <v>Comum</v>
      </c>
      <c r="H40" s="3" t="str">
        <f>IFERROR(__xludf.dummyfunction("""COMPUTED_VALUE"""),"4")</f>
        <v>4</v>
      </c>
      <c r="I40" s="147" t="str">
        <f>IFERROR(__xludf.dummyfunction("""COMPUTED_VALUE"""),"26042573900")</f>
        <v>26042573900</v>
      </c>
      <c r="J40" s="3" t="str">
        <f>IFERROR(__xludf.dummyfunction("""COMPUTED_VALUE"""),"20/04/2026 12:53:45")</f>
        <v>20/04/2026 12:53:45</v>
      </c>
      <c r="K40" s="3" t="str">
        <f>IFERROR(__xludf.dummyfunction("""COMPUTED_VALUE"""),"ISABELA MARIA DIAS DA SILVA")</f>
        <v>ISABELA MARIA DIAS DA SILVA</v>
      </c>
      <c r="L40" s="146" t="str">
        <f>IFERROR(__xludf.dummyfunction("""COMPUTED_VALUE"""),"166.511.419-37")</f>
        <v>166.511.419-37</v>
      </c>
      <c r="M40" s="146" t="str">
        <f>IFERROR(__xludf.dummyfunction("""COMPUTED_VALUE"""),"02/05/2023")</f>
        <v>02/05/2023</v>
      </c>
      <c r="N40" s="3"/>
      <c r="O40" s="3" t="str">
        <f>IFERROR(__xludf.dummyfunction("""COMPUTED_VALUE"""),"0")</f>
        <v>0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ht="15.75" hidden="1" customHeight="1" spans="1:29">
      <c r="A41" s="3"/>
      <c r="B41" s="3" t="str">
        <f t="array" ref="B41">_xlfn.XLOOKUP(D41,Tabela_Dados_Esc_JAB_2026[INEP],Tabela_Dados_Esc_JAB_2026[REGIONAL],"NE",0)</f>
        <v>REGIONAL 6</v>
      </c>
      <c r="C41" s="4" t="str">
        <f>IFERROR(__xludf.dummyfunction("""COMPUTED_VALUE"""),"CEMEI LIGIA ARAUJO DE OLIVEIRA")</f>
        <v>CEMEI LIGIA ARAUJO DE OLIVEIRA</v>
      </c>
      <c r="D41" s="3" t="str">
        <f>IFERROR(__xludf.dummyfunction("""COMPUTED_VALUE"""),"26191300")</f>
        <v>26191300</v>
      </c>
      <c r="E41" s="3" t="str">
        <f>IFERROR(__xludf.dummyfunction("""COMPUTED_VALUE"""),"INFANTIL 2")</f>
        <v>INFANTIL 2</v>
      </c>
      <c r="F41" s="3" t="str">
        <f>IFERROR(__xludf.dummyfunction("""COMPUTED_VALUE"""),"Integral")</f>
        <v>Integral</v>
      </c>
      <c r="G41" s="3" t="str">
        <f>IFERROR(__xludf.dummyfunction("""COMPUTED_VALUE"""),"Comum")</f>
        <v>Comum</v>
      </c>
      <c r="H41" s="3" t="str">
        <f>IFERROR(__xludf.dummyfunction("""COMPUTED_VALUE"""),"5")</f>
        <v>5</v>
      </c>
      <c r="I41" s="147" t="str">
        <f>IFERROR(__xludf.dummyfunction("""COMPUTED_VALUE"""),"26052223423")</f>
        <v>26052223423</v>
      </c>
      <c r="J41" s="3" t="str">
        <f>IFERROR(__xludf.dummyfunction("""COMPUTED_VALUE"""),"08/05/2026 07:30:21")</f>
        <v>08/05/2026 07:30:21</v>
      </c>
      <c r="K41" s="3" t="str">
        <f>IFERROR(__xludf.dummyfunction("""COMPUTED_VALUE"""),"HEITOR GABRIEL MARQUES DOS SANTOS")</f>
        <v>HEITOR GABRIEL MARQUES DOS SANTOS</v>
      </c>
      <c r="L41" s="146" t="str">
        <f>IFERROR(__xludf.dummyfunction("""COMPUTED_VALUE"""),"185.759.414-29")</f>
        <v>185.759.414-29</v>
      </c>
      <c r="M41" s="146" t="str">
        <f>IFERROR(__xludf.dummyfunction("""COMPUTED_VALUE"""),"20/05/2023")</f>
        <v>20/05/2023</v>
      </c>
      <c r="N41" s="3"/>
      <c r="O41" s="3" t="str">
        <f>IFERROR(__xludf.dummyfunction("""COMPUTED_VALUE"""),"0")</f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ht="15.75" hidden="1" customHeight="1" spans="1:29">
      <c r="A42" s="3"/>
      <c r="B42" s="3" t="str">
        <f t="array" ref="B42">_xlfn.XLOOKUP(D42,Tabela_Dados_Esc_JAB_2026[INEP],Tabela_Dados_Esc_JAB_2026[REGIONAL],"NE",0)</f>
        <v>REGIONAL 6</v>
      </c>
      <c r="C42" s="4" t="str">
        <f>IFERROR(__xludf.dummyfunction("""COMPUTED_VALUE"""),"CEMEI LIGIA ARAUJO DE OLIVEIRA")</f>
        <v>CEMEI LIGIA ARAUJO DE OLIVEIRA</v>
      </c>
      <c r="D42" s="3" t="str">
        <f>IFERROR(__xludf.dummyfunction("""COMPUTED_VALUE"""),"26191300")</f>
        <v>26191300</v>
      </c>
      <c r="E42" s="3" t="str">
        <f>IFERROR(__xludf.dummyfunction("""COMPUTED_VALUE"""),"INFANTIL 2")</f>
        <v>INFANTIL 2</v>
      </c>
      <c r="F42" s="3" t="str">
        <f>IFERROR(__xludf.dummyfunction("""COMPUTED_VALUE"""),"Integral")</f>
        <v>Integral</v>
      </c>
      <c r="G42" s="3" t="str">
        <f>IFERROR(__xludf.dummyfunction("""COMPUTED_VALUE"""),"Comum")</f>
        <v>Comum</v>
      </c>
      <c r="H42" s="3" t="str">
        <f>IFERROR(__xludf.dummyfunction("""COMPUTED_VALUE"""),"6")</f>
        <v>6</v>
      </c>
      <c r="I42" s="145" t="str">
        <f>IFERROR(__xludf.dummyfunction("""COMPUTED_VALUE"""),"26062955555")</f>
        <v>26062955555</v>
      </c>
      <c r="J42" s="3" t="str">
        <f>IFERROR(__xludf.dummyfunction("""COMPUTED_VALUE"""),"10/06/2026 09:35:26")</f>
        <v>10/06/2026 09:35:26</v>
      </c>
      <c r="K42" s="3" t="str">
        <f>IFERROR(__xludf.dummyfunction("""COMPUTED_VALUE"""),"HENRIQUE LORENZO PACHECO DA SILVA")</f>
        <v>HENRIQUE LORENZO PACHECO DA SILVA</v>
      </c>
      <c r="L42" s="146" t="str">
        <f>IFERROR(__xludf.dummyfunction("""COMPUTED_VALUE"""),"035.434.204-53")</f>
        <v>035.434.204-53</v>
      </c>
      <c r="M42" s="146" t="str">
        <f>IFERROR(__xludf.dummyfunction("""COMPUTED_VALUE"""),"22/06/2023")</f>
        <v>22/06/2023</v>
      </c>
      <c r="N42" s="3"/>
      <c r="O42" s="3" t="str">
        <f>IFERROR(__xludf.dummyfunction("""COMPUTED_VALUE"""),"0")</f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ht="15.75" hidden="1" customHeight="1" spans="1:29">
      <c r="A43" s="3"/>
      <c r="B43" s="3" t="str">
        <f t="array" ref="B43">_xlfn.XLOOKUP(D43,Tabela_Dados_Esc_JAB_2026[INEP],Tabela_Dados_Esc_JAB_2026[REGIONAL],"NE",0)</f>
        <v>REGIONAL 6</v>
      </c>
      <c r="C43" s="4" t="str">
        <f>IFERROR(__xludf.dummyfunction("""COMPUTED_VALUE"""),"CEMEI LIGIA ARAUJO DE OLIVEIRA")</f>
        <v>CEMEI LIGIA ARAUJO DE OLIVEIRA</v>
      </c>
      <c r="D43" s="3" t="str">
        <f>IFERROR(__xludf.dummyfunction("""COMPUTED_VALUE"""),"26191300")</f>
        <v>26191300</v>
      </c>
      <c r="E43" s="3" t="str">
        <f>IFERROR(__xludf.dummyfunction("""COMPUTED_VALUE"""),"INFANTIL 3")</f>
        <v>INFANTIL 3</v>
      </c>
      <c r="F43" s="3" t="str">
        <f>IFERROR(__xludf.dummyfunction("""COMPUTED_VALUE"""),"Integral")</f>
        <v>Integral</v>
      </c>
      <c r="G43" s="3" t="str">
        <f>IFERROR(__xludf.dummyfunction("""COMPUTED_VALUE"""),"Comum")</f>
        <v>Comum</v>
      </c>
      <c r="H43" s="3" t="str">
        <f>IFERROR(__xludf.dummyfunction("""COMPUTED_VALUE"""),"1")</f>
        <v>1</v>
      </c>
      <c r="I43" s="145" t="str">
        <f>IFERROR(__xludf.dummyfunction("""COMPUTED_VALUE"""),"26022419534")</f>
        <v>26022419534</v>
      </c>
      <c r="J43" s="3" t="str">
        <f>IFERROR(__xludf.dummyfunction("""COMPUTED_VALUE"""),"03/02/2026 14:12:28")</f>
        <v>03/02/2026 14:12:28</v>
      </c>
      <c r="K43" s="3" t="str">
        <f>IFERROR(__xludf.dummyfunction("""COMPUTED_VALUE"""),"AYLLA FERREIRA DA SILVA")</f>
        <v>AYLLA FERREIRA DA SILVA</v>
      </c>
      <c r="L43" s="146" t="str">
        <f>IFERROR(__xludf.dummyfunction("""COMPUTED_VALUE"""),"183.532.494-05")</f>
        <v>183.532.494-05</v>
      </c>
      <c r="M43" s="146" t="str">
        <f>IFERROR(__xludf.dummyfunction("""COMPUTED_VALUE"""),"22/11/2022")</f>
        <v>22/11/2022</v>
      </c>
      <c r="N43" s="3"/>
      <c r="O43" s="3" t="str">
        <f>IFERROR(__xludf.dummyfunction("""COMPUTED_VALUE"""),"0")</f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ht="15.75" hidden="1" customHeight="1" spans="1:29">
      <c r="A44" s="3"/>
      <c r="B44" s="3" t="str">
        <f t="array" ref="B44">_xlfn.XLOOKUP(D44,Tabela_Dados_Esc_JAB_2026[INEP],Tabela_Dados_Esc_JAB_2026[REGIONAL],"NE",0)</f>
        <v>REGIONAL 6</v>
      </c>
      <c r="C44" s="4" t="str">
        <f>IFERROR(__xludf.dummyfunction("""COMPUTED_VALUE"""),"CEMEI LIGIA ARAUJO DE OLIVEIRA")</f>
        <v>CEMEI LIGIA ARAUJO DE OLIVEIRA</v>
      </c>
      <c r="D44" s="3" t="str">
        <f>IFERROR(__xludf.dummyfunction("""COMPUTED_VALUE"""),"26191300")</f>
        <v>26191300</v>
      </c>
      <c r="E44" s="3" t="str">
        <f>IFERROR(__xludf.dummyfunction("""COMPUTED_VALUE"""),"INFANTIL 3")</f>
        <v>INFANTIL 3</v>
      </c>
      <c r="F44" s="3" t="str">
        <f>IFERROR(__xludf.dummyfunction("""COMPUTED_VALUE"""),"Integral")</f>
        <v>Integral</v>
      </c>
      <c r="G44" s="3" t="str">
        <f>IFERROR(__xludf.dummyfunction("""COMPUTED_VALUE"""),"Comum")</f>
        <v>Comum</v>
      </c>
      <c r="H44" s="3" t="str">
        <f>IFERROR(__xludf.dummyfunction("""COMPUTED_VALUE"""),"2")</f>
        <v>2</v>
      </c>
      <c r="I44" s="145" t="str">
        <f>IFERROR(__xludf.dummyfunction("""COMPUTED_VALUE"""),"26022477473")</f>
        <v>26022477473</v>
      </c>
      <c r="J44" s="3" t="str">
        <f>IFERROR(__xludf.dummyfunction("""COMPUTED_VALUE"""),"03/02/2026 14:18:57")</f>
        <v>03/02/2026 14:18:57</v>
      </c>
      <c r="K44" s="3" t="str">
        <f>IFERROR(__xludf.dummyfunction("""COMPUTED_VALUE"""),"ALYCIA FERREIRA DA SILVA")</f>
        <v>ALYCIA FERREIRA DA SILVA</v>
      </c>
      <c r="L44" s="146" t="str">
        <f>IFERROR(__xludf.dummyfunction("""COMPUTED_VALUE"""),"183.532.504-11")</f>
        <v>183.532.504-11</v>
      </c>
      <c r="M44" s="146" t="str">
        <f>IFERROR(__xludf.dummyfunction("""COMPUTED_VALUE"""),"22/11/2022")</f>
        <v>22/11/2022</v>
      </c>
      <c r="N44" s="3"/>
      <c r="O44" s="3" t="str">
        <f>IFERROR(__xludf.dummyfunction("""COMPUTED_VALUE"""),"0")</f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ht="15.75" hidden="1" customHeight="1" spans="1:29">
      <c r="A45" s="3"/>
      <c r="B45" s="3" t="str">
        <f t="array" ref="B45">_xlfn.XLOOKUP(D45,Tabela_Dados_Esc_JAB_2026[INEP],Tabela_Dados_Esc_JAB_2026[REGIONAL],"NE",0)</f>
        <v>REGIONAL 6</v>
      </c>
      <c r="C45" s="4" t="str">
        <f>IFERROR(__xludf.dummyfunction("""COMPUTED_VALUE"""),"CEMEI LIGIA ARAUJO DE OLIVEIRA")</f>
        <v>CEMEI LIGIA ARAUJO DE OLIVEIRA</v>
      </c>
      <c r="D45" s="3" t="str">
        <f>IFERROR(__xludf.dummyfunction("""COMPUTED_VALUE"""),"26191300")</f>
        <v>26191300</v>
      </c>
      <c r="E45" s="3" t="str">
        <f>IFERROR(__xludf.dummyfunction("""COMPUTED_VALUE"""),"INFANTIL 3")</f>
        <v>INFANTIL 3</v>
      </c>
      <c r="F45" s="3" t="str">
        <f>IFERROR(__xludf.dummyfunction("""COMPUTED_VALUE"""),"Integral")</f>
        <v>Integral</v>
      </c>
      <c r="G45" s="3" t="str">
        <f>IFERROR(__xludf.dummyfunction("""COMPUTED_VALUE"""),"Comum")</f>
        <v>Comum</v>
      </c>
      <c r="H45" s="3" t="str">
        <f>IFERROR(__xludf.dummyfunction("""COMPUTED_VALUE"""),"3")</f>
        <v>3</v>
      </c>
      <c r="I45" s="145" t="str">
        <f>IFERROR(__xludf.dummyfunction("""COMPUTED_VALUE"""),"26022456645")</f>
        <v>26022456645</v>
      </c>
      <c r="J45" s="3" t="str">
        <f>IFERROR(__xludf.dummyfunction("""COMPUTED_VALUE"""),"23/02/2026 20:39:24")</f>
        <v>23/02/2026 20:39:24</v>
      </c>
      <c r="K45" s="3" t="str">
        <f>IFERROR(__xludf.dummyfunction("""COMPUTED_VALUE"""),"ABRAÃO EMANOEL PINHEIRO DA SILVA")</f>
        <v>ABRAÃO EMANOEL PINHEIRO DA SILVA</v>
      </c>
      <c r="L45" s="146" t="str">
        <f>IFERROR(__xludf.dummyfunction("""COMPUTED_VALUE"""),"182.714.394-05")</f>
        <v>182.714.394-05</v>
      </c>
      <c r="M45" s="146" t="str">
        <f>IFERROR(__xludf.dummyfunction("""COMPUTED_VALUE"""),"31/08/2022")</f>
        <v>31/08/2022</v>
      </c>
      <c r="N45" s="3"/>
      <c r="O45" s="3" t="str">
        <f>IFERROR(__xludf.dummyfunction("""COMPUTED_VALUE"""),"0")</f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ht="15.75" hidden="1" customHeight="1" spans="1:29">
      <c r="A46" s="3"/>
      <c r="B46" s="3" t="str">
        <f t="array" ref="B46">_xlfn.XLOOKUP(D46,Tabela_Dados_Esc_JAB_2026[INEP],Tabela_Dados_Esc_JAB_2026[REGIONAL],"NE",0)</f>
        <v>REGIONAL 6</v>
      </c>
      <c r="C46" s="4" t="str">
        <f>IFERROR(__xludf.dummyfunction("""COMPUTED_VALUE"""),"CEMEI LIGIA ARAUJO DE OLIVEIRA")</f>
        <v>CEMEI LIGIA ARAUJO DE OLIVEIRA</v>
      </c>
      <c r="D46" s="3" t="str">
        <f>IFERROR(__xludf.dummyfunction("""COMPUTED_VALUE"""),"26191300")</f>
        <v>26191300</v>
      </c>
      <c r="E46" s="3" t="str">
        <f>IFERROR(__xludf.dummyfunction("""COMPUTED_VALUE"""),"INFANTIL 3")</f>
        <v>INFANTIL 3</v>
      </c>
      <c r="F46" s="3" t="str">
        <f>IFERROR(__xludf.dummyfunction("""COMPUTED_VALUE"""),"Integral")</f>
        <v>Integral</v>
      </c>
      <c r="G46" s="3" t="str">
        <f>IFERROR(__xludf.dummyfunction("""COMPUTED_VALUE"""),"Comum")</f>
        <v>Comum</v>
      </c>
      <c r="H46" s="3" t="str">
        <f>IFERROR(__xludf.dummyfunction("""COMPUTED_VALUE"""),"4")</f>
        <v>4</v>
      </c>
      <c r="I46" s="147" t="str">
        <f>IFERROR(__xludf.dummyfunction("""COMPUTED_VALUE"""),"26082943110")</f>
        <v>26082943110</v>
      </c>
      <c r="J46" s="3" t="str">
        <f>IFERROR(__xludf.dummyfunction("""COMPUTED_VALUE"""),"11/08/2026 13:20:40")</f>
        <v>11/08/2026 13:20:40</v>
      </c>
      <c r="K46" s="3" t="str">
        <f>IFERROR(__xludf.dummyfunction("""COMPUTED_VALUE"""),"Kiara Heloise dos Santos")</f>
        <v>Kiara Heloise dos Santos</v>
      </c>
      <c r="L46" s="146" t="str">
        <f>IFERROR(__xludf.dummyfunction("""COMPUTED_VALUE"""),"184.757.404-13")</f>
        <v>184.757.404-13</v>
      </c>
      <c r="M46" s="146" t="str">
        <f>IFERROR(__xludf.dummyfunction("""COMPUTED_VALUE"""),"09/03/2023")</f>
        <v>09/03/2023</v>
      </c>
      <c r="N46" s="3"/>
      <c r="O46" s="3" t="str">
        <f>IFERROR(__xludf.dummyfunction("""COMPUTED_VALUE"""),"0")</f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ht="15.75" hidden="1" customHeight="1" spans="1:29">
      <c r="A47" s="3"/>
      <c r="B47" s="3" t="str">
        <f t="array" ref="B47">_xlfn.XLOOKUP(D47,Tabela_Dados_Esc_JAB_2026[INEP],Tabela_Dados_Esc_JAB_2026[REGIONAL],"NE",0)</f>
        <v>REGIONAL 6</v>
      </c>
      <c r="C47" s="4" t="str">
        <f>IFERROR(__xludf.dummyfunction("""COMPUTED_VALUE"""),"CEMEI LIGIA ARAUJO DE OLIVEIRA")</f>
        <v>CEMEI LIGIA ARAUJO DE OLIVEIRA</v>
      </c>
      <c r="D47" s="3" t="str">
        <f>IFERROR(__xludf.dummyfunction("""COMPUTED_VALUE"""),"26191300")</f>
        <v>26191300</v>
      </c>
      <c r="E47" s="3" t="str">
        <f>IFERROR(__xludf.dummyfunction("""COMPUTED_VALUE"""),"INFANTIL 4")</f>
        <v>INFANTIL 4</v>
      </c>
      <c r="F47" s="3" t="str">
        <f>IFERROR(__xludf.dummyfunction("""COMPUTED_VALUE"""),"Matutino/Manhã")</f>
        <v>Matutino/Manhã</v>
      </c>
      <c r="G47" s="3" t="str">
        <f>IFERROR(__xludf.dummyfunction("""COMPUTED_VALUE"""),"Comum")</f>
        <v>Comum</v>
      </c>
      <c r="H47" s="3" t="str">
        <f>IFERROR(__xludf.dummyfunction("""COMPUTED_VALUE"""),"1")</f>
        <v>1</v>
      </c>
      <c r="I47" s="147" t="str">
        <f>IFERROR(__xludf.dummyfunction("""COMPUTED_VALUE"""),"26082180118")</f>
        <v>26082180118</v>
      </c>
      <c r="J47" s="3" t="str">
        <f>IFERROR(__xludf.dummyfunction("""COMPUTED_VALUE"""),"11/08/2026 13:16:26")</f>
        <v>11/08/2026 13:16:26</v>
      </c>
      <c r="K47" s="3" t="str">
        <f>IFERROR(__xludf.dummyfunction("""COMPUTED_VALUE"""),"Valentina Gabriela dos Santos")</f>
        <v>Valentina Gabriela dos Santos</v>
      </c>
      <c r="L47" s="146" t="str">
        <f>IFERROR(__xludf.dummyfunction("""COMPUTED_VALUE"""),"176.437.184-40")</f>
        <v>176.437.184-40</v>
      </c>
      <c r="M47" s="146" t="str">
        <f>IFERROR(__xludf.dummyfunction("""COMPUTED_VALUE"""),"27/04/2021")</f>
        <v>27/04/2021</v>
      </c>
      <c r="N47" s="3"/>
      <c r="O47" s="3" t="str">
        <f>IFERROR(__xludf.dummyfunction("""COMPUTED_VALUE"""),"0")</f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ht="15.75" hidden="1" customHeight="1" spans="1:29">
      <c r="A48" s="3"/>
      <c r="B48" s="3" t="str">
        <f t="array" ref="B48">_xlfn.XLOOKUP(D48,Tabela_Dados_Esc_JAB_2026[INEP],Tabela_Dados_Esc_JAB_2026[REGIONAL],"NE",0)</f>
        <v>REGIONAL 6</v>
      </c>
      <c r="C48" s="4" t="str">
        <f>IFERROR(__xludf.dummyfunction("""COMPUTED_VALUE"""),"CEMEI LIGIA ARAUJO DE OLIVEIRA")</f>
        <v>CEMEI LIGIA ARAUJO DE OLIVEIRA</v>
      </c>
      <c r="D48" s="3" t="str">
        <f>IFERROR(__xludf.dummyfunction("""COMPUTED_VALUE"""),"26191300")</f>
        <v>26191300</v>
      </c>
      <c r="E48" s="3" t="str">
        <f>IFERROR(__xludf.dummyfunction("""COMPUTED_VALUE"""),"INFANTIL 5")</f>
        <v>INFANTIL 5</v>
      </c>
      <c r="F48" s="3" t="str">
        <f>IFERROR(__xludf.dummyfunction("""COMPUTED_VALUE"""),"Vespertino/Tarde")</f>
        <v>Vespertino/Tarde</v>
      </c>
      <c r="G48" s="3" t="str">
        <f>IFERROR(__xludf.dummyfunction("""COMPUTED_VALUE"""),"Comum")</f>
        <v>Comum</v>
      </c>
      <c r="H48" s="3" t="str">
        <f>IFERROR(__xludf.dummyfunction("""COMPUTED_VALUE"""),"1")</f>
        <v>1</v>
      </c>
      <c r="I48" s="147" t="str">
        <f>IFERROR(__xludf.dummyfunction("""COMPUTED_VALUE"""),"26072395830")</f>
        <v>26072395830</v>
      </c>
      <c r="J48" s="3" t="str">
        <f>IFERROR(__xludf.dummyfunction("""COMPUTED_VALUE"""),"09/07/2026 15:42:02")</f>
        <v>09/07/2026 15:42:02</v>
      </c>
      <c r="K48" s="3" t="str">
        <f>IFERROR(__xludf.dummyfunction("""COMPUTED_VALUE"""),"Maria Lorhanna Gonzaga Reis")</f>
        <v>Maria Lorhanna Gonzaga Reis</v>
      </c>
      <c r="L48" s="146" t="str">
        <f>IFERROR(__xludf.dummyfunction("""COMPUTED_VALUE"""),"173.858.514-01")</f>
        <v>173.858.514-01</v>
      </c>
      <c r="M48" s="146" t="str">
        <f>IFERROR(__xludf.dummyfunction("""COMPUTED_VALUE"""),"13/05/2020")</f>
        <v>13/05/2020</v>
      </c>
      <c r="N48" s="3"/>
      <c r="O48" s="3" t="str">
        <f>IFERROR(__xludf.dummyfunction("""COMPUTED_VALUE"""),"0")</f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ht="15.75" customHeight="1" spans="1:29">
      <c r="A49" s="3"/>
      <c r="B49" s="3" t="str">
        <f t="array" ref="B49">_xlfn.XLOOKUP(D49,Tabela_Dados_Esc_JAB_2026[INEP],Tabela_Dados_Esc_JAB_2026[REGIONAL],"NE",0)</f>
        <v>REGIONAL 2</v>
      </c>
      <c r="C49" s="4" t="str">
        <f>IFERROR(__xludf.dummyfunction("""COMPUTED_VALUE"""),"CEMEI LUIZ FERNANDO DE CARVALHO ARCOVERDE")</f>
        <v>CEMEI LUIZ FERNANDO DE CARVALHO ARCOVERDE</v>
      </c>
      <c r="D49" s="3" t="str">
        <f>IFERROR(__xludf.dummyfunction("""COMPUTED_VALUE"""),"26186063")</f>
        <v>26186063</v>
      </c>
      <c r="E49" s="3" t="str">
        <f>IFERROR(__xludf.dummyfunction("""COMPUTED_VALUE"""),"INFANTIL 2")</f>
        <v>INFANTIL 2</v>
      </c>
      <c r="F49" s="3" t="str">
        <f>IFERROR(__xludf.dummyfunction("""COMPUTED_VALUE"""),"Integral")</f>
        <v>Integral</v>
      </c>
      <c r="G49" s="3" t="str">
        <f>IFERROR(__xludf.dummyfunction("""COMPUTED_VALUE"""),"Comum")</f>
        <v>Comum</v>
      </c>
      <c r="H49" s="3" t="str">
        <f>IFERROR(__xludf.dummyfunction("""COMPUTED_VALUE"""),"1")</f>
        <v>1</v>
      </c>
      <c r="I49" s="147" t="str">
        <f>IFERROR(__xludf.dummyfunction("""COMPUTED_VALUE"""),"26072370562")</f>
        <v>26072370562</v>
      </c>
      <c r="J49" s="3" t="str">
        <f>IFERROR(__xludf.dummyfunction("""COMPUTED_VALUE"""),"09/07/2026 20:11:39")</f>
        <v>09/07/2026 20:11:39</v>
      </c>
      <c r="K49" s="3" t="str">
        <f>IFERROR(__xludf.dummyfunction("""COMPUTED_VALUE"""),"MARIA CLARA VASCONCELOS DA SILVA")</f>
        <v>MARIA CLARA VASCONCELOS DA SILVA</v>
      </c>
      <c r="L49" s="146" t="str">
        <f>IFERROR(__xludf.dummyfunction("""COMPUTED_VALUE"""),"185.771.984-05")</f>
        <v>185.771.984-05</v>
      </c>
      <c r="M49" s="146" t="str">
        <f>IFERROR(__xludf.dummyfunction("""COMPUTED_VALUE"""),"02/06/2023")</f>
        <v>02/06/2023</v>
      </c>
      <c r="N49" s="3"/>
      <c r="O49" s="3" t="str">
        <f>IFERROR(__xludf.dummyfunction("""COMPUTED_VALUE"""),"0")</f>
        <v>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5.75" customHeight="1" spans="1:29">
      <c r="A50" s="3"/>
      <c r="B50" s="3" t="str">
        <f t="array" ref="B50">_xlfn.XLOOKUP(D50,Tabela_Dados_Esc_JAB_2026[INEP],Tabela_Dados_Esc_JAB_2026[REGIONAL],"NE",0)</f>
        <v>REGIONAL 2</v>
      </c>
      <c r="C50" s="4" t="str">
        <f>IFERROR(__xludf.dummyfunction("""COMPUTED_VALUE"""),"CEMEI LUIZ FERNANDO DE CARVALHO ARCOVERDE")</f>
        <v>CEMEI LUIZ FERNANDO DE CARVALHO ARCOVERDE</v>
      </c>
      <c r="D50" s="3" t="str">
        <f>IFERROR(__xludf.dummyfunction("""COMPUTED_VALUE"""),"26186063")</f>
        <v>26186063</v>
      </c>
      <c r="E50" s="3" t="str">
        <f>IFERROR(__xludf.dummyfunction("""COMPUTED_VALUE"""),"INFANTIL 2")</f>
        <v>INFANTIL 2</v>
      </c>
      <c r="F50" s="3" t="str">
        <f>IFERROR(__xludf.dummyfunction("""COMPUTED_VALUE"""),"Integral")</f>
        <v>Integral</v>
      </c>
      <c r="G50" s="3" t="str">
        <f>IFERROR(__xludf.dummyfunction("""COMPUTED_VALUE"""),"Comum")</f>
        <v>Comum</v>
      </c>
      <c r="H50" s="3" t="str">
        <f>IFERROR(__xludf.dummyfunction("""COMPUTED_VALUE"""),"2")</f>
        <v>2</v>
      </c>
      <c r="I50" s="147" t="str">
        <f>IFERROR(__xludf.dummyfunction("""COMPUTED_VALUE"""),"26072614229")</f>
        <v>26072614229</v>
      </c>
      <c r="J50" s="3" t="str">
        <f>IFERROR(__xludf.dummyfunction("""COMPUTED_VALUE"""),"24/07/2026 16:57:07")</f>
        <v>24/07/2026 16:57:07</v>
      </c>
      <c r="K50" s="3" t="str">
        <f>IFERROR(__xludf.dummyfunction("""COMPUTED_VALUE"""),"Isaac luiz Maia do Nascimento")</f>
        <v>Isaac luiz Maia do Nascimento</v>
      </c>
      <c r="L50" s="146" t="str">
        <f>IFERROR(__xludf.dummyfunction("""COMPUTED_VALUE"""),"001.976.204-69")</f>
        <v>001.976.204-69</v>
      </c>
      <c r="M50" s="146" t="str">
        <f>IFERROR(__xludf.dummyfunction("""COMPUTED_VALUE"""),"11/12/2023")</f>
        <v>11/12/2023</v>
      </c>
      <c r="N50" s="3"/>
      <c r="O50" s="3" t="str">
        <f>IFERROR(__xludf.dummyfunction("""COMPUTED_VALUE"""),"0")</f>
        <v>0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ht="15.75" hidden="1" customHeight="1" spans="1:29">
      <c r="A51" s="3"/>
      <c r="B51" s="3" t="str">
        <f t="array" ref="B51">_xlfn.XLOOKUP(D51,Tabela_Dados_Esc_JAB_2026[INEP],Tabela_Dados_Esc_JAB_2026[REGIONAL],"NE",0)</f>
        <v>REGIONAL 5</v>
      </c>
      <c r="C51" s="4" t="str">
        <f>IFERROR(__xludf.dummyfunction("""COMPUTED_VALUE"""),"CEMEI PROFª MARIA LUZIA RIO LIMA")</f>
        <v>CEMEI PROFª MARIA LUZIA RIO LIMA</v>
      </c>
      <c r="D51" s="3" t="str">
        <f>IFERROR(__xludf.dummyfunction("""COMPUTED_VALUE"""),"26187060")</f>
        <v>26187060</v>
      </c>
      <c r="E51" s="3" t="str">
        <f>IFERROR(__xludf.dummyfunction("""COMPUTED_VALUE"""),"INFANTIL 1")</f>
        <v>INFANTIL 1</v>
      </c>
      <c r="F51" s="3" t="str">
        <f>IFERROR(__xludf.dummyfunction("""COMPUTED_VALUE"""),"Integral")</f>
        <v>Integral</v>
      </c>
      <c r="G51" s="3" t="str">
        <f>IFERROR(__xludf.dummyfunction("""COMPUTED_VALUE"""),"Comum")</f>
        <v>Comum</v>
      </c>
      <c r="H51" s="3" t="str">
        <f>IFERROR(__xludf.dummyfunction("""COMPUTED_VALUE"""),"1")</f>
        <v>1</v>
      </c>
      <c r="I51" s="145" t="str">
        <f>IFERROR(__xludf.dummyfunction("""COMPUTED_VALUE"""),"26032132321")</f>
        <v>26032132321</v>
      </c>
      <c r="J51" s="3" t="str">
        <f>IFERROR(__xludf.dummyfunction("""COMPUTED_VALUE"""),"19/03/2026 08:28:18")</f>
        <v>19/03/2026 08:28:18</v>
      </c>
      <c r="K51" s="3" t="str">
        <f>IFERROR(__xludf.dummyfunction("""COMPUTED_VALUE"""),"MARIA CLARA DE LIMA")</f>
        <v>MARIA CLARA DE LIMA</v>
      </c>
      <c r="L51" s="146" t="str">
        <f>IFERROR(__xludf.dummyfunction("""COMPUTED_VALUE"""),"004.995.084-32")</f>
        <v>004.995.084-32</v>
      </c>
      <c r="M51" s="146" t="str">
        <f>IFERROR(__xludf.dummyfunction("""COMPUTED_VALUE"""),"16/12/2024")</f>
        <v>16/12/2024</v>
      </c>
      <c r="N51" s="3"/>
      <c r="O51" s="3" t="str">
        <f>IFERROR(__xludf.dummyfunction("""COMPUTED_VALUE"""),"0")</f>
        <v>0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ht="15.75" hidden="1" customHeight="1" spans="1:29">
      <c r="A52" s="3"/>
      <c r="B52" s="3" t="str">
        <f t="array" ref="B52">_xlfn.XLOOKUP(D52,Tabela_Dados_Esc_JAB_2026[INEP],Tabela_Dados_Esc_JAB_2026[REGIONAL],"NE",0)</f>
        <v>REGIONAL 5</v>
      </c>
      <c r="C52" s="4" t="str">
        <f>IFERROR(__xludf.dummyfunction("""COMPUTED_VALUE"""),"CEMEI PROFª MARIA LUZIA RIO LIMA")</f>
        <v>CEMEI PROFª MARIA LUZIA RIO LIMA</v>
      </c>
      <c r="D52" s="3" t="str">
        <f>IFERROR(__xludf.dummyfunction("""COMPUTED_VALUE"""),"26187060")</f>
        <v>26187060</v>
      </c>
      <c r="E52" s="3" t="str">
        <f>IFERROR(__xludf.dummyfunction("""COMPUTED_VALUE"""),"INFANTIL 1")</f>
        <v>INFANTIL 1</v>
      </c>
      <c r="F52" s="3" t="str">
        <f>IFERROR(__xludf.dummyfunction("""COMPUTED_VALUE"""),"Integral")</f>
        <v>Integral</v>
      </c>
      <c r="G52" s="3" t="str">
        <f>IFERROR(__xludf.dummyfunction("""COMPUTED_VALUE"""),"Comum")</f>
        <v>Comum</v>
      </c>
      <c r="H52" s="3" t="str">
        <f>IFERROR(__xludf.dummyfunction("""COMPUTED_VALUE"""),"2")</f>
        <v>2</v>
      </c>
      <c r="I52" s="147" t="str">
        <f>IFERROR(__xludf.dummyfunction("""COMPUTED_VALUE"""),"26032131066")</f>
        <v>26032131066</v>
      </c>
      <c r="J52" s="3" t="str">
        <f>IFERROR(__xludf.dummyfunction("""COMPUTED_VALUE"""),"19/03/2026 08:46:18")</f>
        <v>19/03/2026 08:46:18</v>
      </c>
      <c r="K52" s="3" t="str">
        <f>IFERROR(__xludf.dummyfunction("""COMPUTED_VALUE"""),"MARIA FLOR DE LIMA")</f>
        <v>MARIA FLOR DE LIMA</v>
      </c>
      <c r="L52" s="146" t="str">
        <f>IFERROR(__xludf.dummyfunction("""COMPUTED_VALUE"""),"004.995.534-97")</f>
        <v>004.995.534-97</v>
      </c>
      <c r="M52" s="146" t="str">
        <f>IFERROR(__xludf.dummyfunction("""COMPUTED_VALUE"""),"16/12/2024")</f>
        <v>16/12/2024</v>
      </c>
      <c r="N52" s="3"/>
      <c r="O52" s="3" t="str">
        <f>IFERROR(__xludf.dummyfunction("""COMPUTED_VALUE"""),"0")</f>
        <v>0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ht="15.75" hidden="1" customHeight="1" spans="1:29">
      <c r="A53" s="3"/>
      <c r="B53" s="3" t="str">
        <f t="array" ref="B53">_xlfn.XLOOKUP(D53,Tabela_Dados_Esc_JAB_2026[INEP],Tabela_Dados_Esc_JAB_2026[REGIONAL],"NE",0)</f>
        <v>REGIONAL 5</v>
      </c>
      <c r="C53" s="4" t="str">
        <f>IFERROR(__xludf.dummyfunction("""COMPUTED_VALUE"""),"CEMEI PROFª MARIA LUZIA RIO LIMA")</f>
        <v>CEMEI PROFª MARIA LUZIA RIO LIMA</v>
      </c>
      <c r="D53" s="3" t="str">
        <f>IFERROR(__xludf.dummyfunction("""COMPUTED_VALUE"""),"26187060")</f>
        <v>26187060</v>
      </c>
      <c r="E53" s="3" t="str">
        <f>IFERROR(__xludf.dummyfunction("""COMPUTED_VALUE"""),"INFANTIL 1")</f>
        <v>INFANTIL 1</v>
      </c>
      <c r="F53" s="3" t="str">
        <f>IFERROR(__xludf.dummyfunction("""COMPUTED_VALUE"""),"Integral")</f>
        <v>Integral</v>
      </c>
      <c r="G53" s="3" t="str">
        <f>IFERROR(__xludf.dummyfunction("""COMPUTED_VALUE"""),"Comum")</f>
        <v>Comum</v>
      </c>
      <c r="H53" s="3" t="str">
        <f>IFERROR(__xludf.dummyfunction("""COMPUTED_VALUE"""),"3")</f>
        <v>3</v>
      </c>
      <c r="I53" s="147" t="str">
        <f>IFERROR(__xludf.dummyfunction("""COMPUTED_VALUE"""),"26052596009")</f>
        <v>26052596009</v>
      </c>
      <c r="J53" s="3" t="str">
        <f>IFERROR(__xludf.dummyfunction("""COMPUTED_VALUE"""),"06/05/2026 15:38:45")</f>
        <v>06/05/2026 15:38:45</v>
      </c>
      <c r="K53" s="3" t="str">
        <f>IFERROR(__xludf.dummyfunction("""COMPUTED_VALUE"""),"EMANUEL LUCAS FAUSTINO DA SILVA")</f>
        <v>EMANUEL LUCAS FAUSTINO DA SILVA</v>
      </c>
      <c r="L53" s="146" t="str">
        <f>IFERROR(__xludf.dummyfunction("""COMPUTED_VALUE"""),"118.065.824-81")</f>
        <v>118.065.824-81</v>
      </c>
      <c r="M53" s="146" t="str">
        <f>IFERROR(__xludf.dummyfunction("""COMPUTED_VALUE"""),"05/09/2024")</f>
        <v>05/09/2024</v>
      </c>
      <c r="N53" s="3"/>
      <c r="O53" s="3" t="str">
        <f>IFERROR(__xludf.dummyfunction("""COMPUTED_VALUE"""),"0")</f>
        <v>0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ht="15.75" hidden="1" customHeight="1" spans="1:29">
      <c r="A54" s="3"/>
      <c r="B54" s="3" t="str">
        <f t="array" ref="B54">_xlfn.XLOOKUP(D54,Tabela_Dados_Esc_JAB_2026[INEP],Tabela_Dados_Esc_JAB_2026[REGIONAL],"NE",0)</f>
        <v>REGIONAL 5</v>
      </c>
      <c r="C54" s="4" t="str">
        <f>IFERROR(__xludf.dummyfunction("""COMPUTED_VALUE"""),"CEMEI PROFª MARIA LUZIA RIO LIMA")</f>
        <v>CEMEI PROFª MARIA LUZIA RIO LIMA</v>
      </c>
      <c r="D54" s="3" t="str">
        <f>IFERROR(__xludf.dummyfunction("""COMPUTED_VALUE"""),"26187060")</f>
        <v>26187060</v>
      </c>
      <c r="E54" s="3" t="str">
        <f>IFERROR(__xludf.dummyfunction("""COMPUTED_VALUE"""),"INFANTIL 1")</f>
        <v>INFANTIL 1</v>
      </c>
      <c r="F54" s="3" t="str">
        <f>IFERROR(__xludf.dummyfunction("""COMPUTED_VALUE"""),"Integral")</f>
        <v>Integral</v>
      </c>
      <c r="G54" s="3" t="str">
        <f>IFERROR(__xludf.dummyfunction("""COMPUTED_VALUE"""),"Comum")</f>
        <v>Comum</v>
      </c>
      <c r="H54" s="3" t="str">
        <f>IFERROR(__xludf.dummyfunction("""COMPUTED_VALUE"""),"4")</f>
        <v>4</v>
      </c>
      <c r="I54" s="147" t="str">
        <f>IFERROR(__xludf.dummyfunction("""COMPUTED_VALUE"""),"26062876709")</f>
        <v>26062876709</v>
      </c>
      <c r="J54" s="3" t="str">
        <f>IFERROR(__xludf.dummyfunction("""COMPUTED_VALUE"""),"10/06/2026 16:57:35")</f>
        <v>10/06/2026 16:57:35</v>
      </c>
      <c r="K54" s="3" t="str">
        <f>IFERROR(__xludf.dummyfunction("""COMPUTED_VALUE"""),"Edgar Souza do monte")</f>
        <v>Edgar Souza do monte</v>
      </c>
      <c r="L54" s="146" t="str">
        <f>IFERROR(__xludf.dummyfunction("""COMPUTED_VALUE"""),"004.150.004-08")</f>
        <v>004.150.004-08</v>
      </c>
      <c r="M54" s="146" t="str">
        <f>IFERROR(__xludf.dummyfunction("""COMPUTED_VALUE"""),"19/09/2024")</f>
        <v>19/09/2024</v>
      </c>
      <c r="N54" s="3"/>
      <c r="O54" s="3" t="str">
        <f>IFERROR(__xludf.dummyfunction("""COMPUTED_VALUE"""),"0")</f>
        <v>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ht="15.75" hidden="1" customHeight="1" spans="1:29">
      <c r="A55" s="3"/>
      <c r="B55" s="3" t="str">
        <f t="array" ref="B55">_xlfn.XLOOKUP(D55,Tabela_Dados_Esc_JAB_2026[INEP],Tabela_Dados_Esc_JAB_2026[REGIONAL],"NE",0)</f>
        <v>REGIONAL 5</v>
      </c>
      <c r="C55" s="4" t="str">
        <f>IFERROR(__xludf.dummyfunction("""COMPUTED_VALUE"""),"CEMEI PROFª MARIA LUZIA RIO LIMA")</f>
        <v>CEMEI PROFª MARIA LUZIA RIO LIMA</v>
      </c>
      <c r="D55" s="3" t="str">
        <f>IFERROR(__xludf.dummyfunction("""COMPUTED_VALUE"""),"26187060")</f>
        <v>26187060</v>
      </c>
      <c r="E55" s="3" t="str">
        <f>IFERROR(__xludf.dummyfunction("""COMPUTED_VALUE"""),"INFANTIL 1")</f>
        <v>INFANTIL 1</v>
      </c>
      <c r="F55" s="3" t="str">
        <f>IFERROR(__xludf.dummyfunction("""COMPUTED_VALUE"""),"Integral")</f>
        <v>Integral</v>
      </c>
      <c r="G55" s="3" t="str">
        <f>IFERROR(__xludf.dummyfunction("""COMPUTED_VALUE"""),"Comum")</f>
        <v>Comum</v>
      </c>
      <c r="H55" s="3" t="str">
        <f>IFERROR(__xludf.dummyfunction("""COMPUTED_VALUE"""),"5")</f>
        <v>5</v>
      </c>
      <c r="I55" s="147" t="str">
        <f>IFERROR(__xludf.dummyfunction("""COMPUTED_VALUE"""),"26062552151")</f>
        <v>26062552151</v>
      </c>
      <c r="J55" s="3" t="str">
        <f>IFERROR(__xludf.dummyfunction("""COMPUTED_VALUE"""),"10/06/2026 17:01:25")</f>
        <v>10/06/2026 17:01:25</v>
      </c>
      <c r="K55" s="3" t="str">
        <f>IFERROR(__xludf.dummyfunction("""COMPUTED_VALUE"""),"Dante Souza do Monte")</f>
        <v>Dante Souza do Monte</v>
      </c>
      <c r="L55" s="146" t="str">
        <f>IFERROR(__xludf.dummyfunction("""COMPUTED_VALUE"""),"004.149.744-92")</f>
        <v>004.149.744-92</v>
      </c>
      <c r="M55" s="146" t="str">
        <f>IFERROR(__xludf.dummyfunction("""COMPUTED_VALUE"""),"19/09/2024")</f>
        <v>19/09/2024</v>
      </c>
      <c r="N55" s="3"/>
      <c r="O55" s="3" t="str">
        <f>IFERROR(__xludf.dummyfunction("""COMPUTED_VALUE"""),"0")</f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ht="15.75" hidden="1" customHeight="1" spans="1:29">
      <c r="A56" s="3"/>
      <c r="B56" s="3" t="str">
        <f t="array" ref="B56">_xlfn.XLOOKUP(D56,Tabela_Dados_Esc_JAB_2026[INEP],Tabela_Dados_Esc_JAB_2026[REGIONAL],"NE",0)</f>
        <v>REGIONAL 7</v>
      </c>
      <c r="C56" s="4" t="str">
        <f>IFERROR(__xludf.dummyfunction("""COMPUTED_VALUE"""),"CEMEI PROFESSORA CIBELE DE ANDRADE MENDES DE AZEVEDO")</f>
        <v>CEMEI PROFESSORA CIBELE DE ANDRADE MENDES DE AZEVEDO</v>
      </c>
      <c r="D56" s="3" t="str">
        <f>IFERROR(__xludf.dummyfunction("""COMPUTED_VALUE"""),"26193078")</f>
        <v>26193078</v>
      </c>
      <c r="E56" s="3" t="str">
        <f>IFERROR(__xludf.dummyfunction("""COMPUTED_VALUE"""),"INFANTIL 1")</f>
        <v>INFANTIL 1</v>
      </c>
      <c r="F56" s="3" t="str">
        <f>IFERROR(__xludf.dummyfunction("""COMPUTED_VALUE"""),"Integral")</f>
        <v>Integral</v>
      </c>
      <c r="G56" s="3" t="str">
        <f>IFERROR(__xludf.dummyfunction("""COMPUTED_VALUE"""),"Comum")</f>
        <v>Comum</v>
      </c>
      <c r="H56" s="3" t="str">
        <f>IFERROR(__xludf.dummyfunction("""COMPUTED_VALUE"""),"1")</f>
        <v>1</v>
      </c>
      <c r="I56" s="147" t="str">
        <f>IFERROR(__xludf.dummyfunction("""COMPUTED_VALUE"""),"26022986363")</f>
        <v>26022986363</v>
      </c>
      <c r="J56" s="3" t="str">
        <f>IFERROR(__xludf.dummyfunction("""COMPUTED_VALUE"""),"04/02/2026 08:52:54")</f>
        <v>04/02/2026 08:52:54</v>
      </c>
      <c r="K56" s="3" t="str">
        <f>IFERROR(__xludf.dummyfunction("""COMPUTED_VALUE"""),"RENAN JOSÉ DA SILVA")</f>
        <v>RENAN JOSÉ DA SILVA</v>
      </c>
      <c r="L56" s="146" t="str">
        <f>IFERROR(__xludf.dummyfunction("""COMPUTED_VALUE"""),"003.612.264-54")</f>
        <v>003.612.264-54</v>
      </c>
      <c r="M56" s="146" t="str">
        <f>IFERROR(__xludf.dummyfunction("""COMPUTED_VALUE"""),"18/04/2024")</f>
        <v>18/04/2024</v>
      </c>
      <c r="N56" s="3"/>
      <c r="O56" s="3" t="str">
        <f>IFERROR(__xludf.dummyfunction("""COMPUTED_VALUE"""),"0")</f>
        <v>0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ht="15.75" hidden="1" customHeight="1" spans="1:29">
      <c r="A57" s="3"/>
      <c r="B57" s="3" t="str">
        <f t="array" ref="B57">_xlfn.XLOOKUP(D57,Tabela_Dados_Esc_JAB_2026[INEP],Tabela_Dados_Esc_JAB_2026[REGIONAL],"NE",0)</f>
        <v>REGIONAL 7</v>
      </c>
      <c r="C57" s="4" t="str">
        <f>IFERROR(__xludf.dummyfunction("""COMPUTED_VALUE"""),"CEMEI PROFESSORA CIBELE DE ANDRADE MENDES DE AZEVEDO")</f>
        <v>CEMEI PROFESSORA CIBELE DE ANDRADE MENDES DE AZEVEDO</v>
      </c>
      <c r="D57" s="3" t="str">
        <f>IFERROR(__xludf.dummyfunction("""COMPUTED_VALUE"""),"26193078")</f>
        <v>26193078</v>
      </c>
      <c r="E57" s="3" t="str">
        <f>IFERROR(__xludf.dummyfunction("""COMPUTED_VALUE"""),"INFANTIL 1")</f>
        <v>INFANTIL 1</v>
      </c>
      <c r="F57" s="3" t="str">
        <f>IFERROR(__xludf.dummyfunction("""COMPUTED_VALUE"""),"Integral")</f>
        <v>Integral</v>
      </c>
      <c r="G57" s="3" t="str">
        <f>IFERROR(__xludf.dummyfunction("""COMPUTED_VALUE"""),"Comum")</f>
        <v>Comum</v>
      </c>
      <c r="H57" s="3" t="str">
        <f>IFERROR(__xludf.dummyfunction("""COMPUTED_VALUE"""),"2")</f>
        <v>2</v>
      </c>
      <c r="I57" s="147" t="str">
        <f>IFERROR(__xludf.dummyfunction("""COMPUTED_VALUE"""),"26022051060")</f>
        <v>26022051060</v>
      </c>
      <c r="J57" s="3" t="str">
        <f>IFERROR(__xludf.dummyfunction("""COMPUTED_VALUE"""),"05/02/2026 12:22:17")</f>
        <v>05/02/2026 12:22:17</v>
      </c>
      <c r="K57" s="3" t="str">
        <f>IFERROR(__xludf.dummyfunction("""COMPUTED_VALUE"""),"ELLOÁH JASMIN NASCIMENTO DA SILVA")</f>
        <v>ELLOÁH JASMIN NASCIMENTO DA SILVA</v>
      </c>
      <c r="L57" s="146" t="str">
        <f>IFERROR(__xludf.dummyfunction("""COMPUTED_VALUE"""),"003.964.064-75")</f>
        <v>003.964.064-75</v>
      </c>
      <c r="M57" s="146" t="str">
        <f>IFERROR(__xludf.dummyfunction("""COMPUTED_VALUE"""),"12/08/2024")</f>
        <v>12/08/2024</v>
      </c>
      <c r="N57" s="3"/>
      <c r="O57" s="3" t="str">
        <f>IFERROR(__xludf.dummyfunction("""COMPUTED_VALUE"""),"0")</f>
        <v>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ht="15.75" hidden="1" customHeight="1" spans="1:29">
      <c r="A58" s="3"/>
      <c r="B58" s="3" t="str">
        <f t="array" ref="B58">_xlfn.XLOOKUP(D58,Tabela_Dados_Esc_JAB_2026[INEP],Tabela_Dados_Esc_JAB_2026[REGIONAL],"NE",0)</f>
        <v>REGIONAL 7</v>
      </c>
      <c r="C58" s="4" t="str">
        <f>IFERROR(__xludf.dummyfunction("""COMPUTED_VALUE"""),"CEMEI PROFESSORA CIBELE DE ANDRADE MENDES DE AZEVEDO")</f>
        <v>CEMEI PROFESSORA CIBELE DE ANDRADE MENDES DE AZEVEDO</v>
      </c>
      <c r="D58" s="3" t="str">
        <f>IFERROR(__xludf.dummyfunction("""COMPUTED_VALUE"""),"26193078")</f>
        <v>26193078</v>
      </c>
      <c r="E58" s="3" t="str">
        <f>IFERROR(__xludf.dummyfunction("""COMPUTED_VALUE"""),"INFANTIL 1")</f>
        <v>INFANTIL 1</v>
      </c>
      <c r="F58" s="3" t="str">
        <f>IFERROR(__xludf.dummyfunction("""COMPUTED_VALUE"""),"Integral")</f>
        <v>Integral</v>
      </c>
      <c r="G58" s="3" t="str">
        <f>IFERROR(__xludf.dummyfunction("""COMPUTED_VALUE"""),"Comum")</f>
        <v>Comum</v>
      </c>
      <c r="H58" s="3" t="str">
        <f>IFERROR(__xludf.dummyfunction("""COMPUTED_VALUE"""),"3")</f>
        <v>3</v>
      </c>
      <c r="I58" s="147" t="str">
        <f>IFERROR(__xludf.dummyfunction("""COMPUTED_VALUE"""),"26022579804")</f>
        <v>26022579804</v>
      </c>
      <c r="J58" s="3" t="str">
        <f>IFERROR(__xludf.dummyfunction("""COMPUTED_VALUE"""),"05/02/2026 13:29:32")</f>
        <v>05/02/2026 13:29:32</v>
      </c>
      <c r="K58" s="3" t="str">
        <f>IFERROR(__xludf.dummyfunction("""COMPUTED_VALUE"""),"OLIVER LICKS DE ALMEIDA")</f>
        <v>OLIVER LICKS DE ALMEIDA</v>
      </c>
      <c r="L58" s="146" t="str">
        <f>IFERROR(__xludf.dummyfunction("""COMPUTED_VALUE"""),"002.966.174-90")</f>
        <v>002.966.174-90</v>
      </c>
      <c r="M58" s="146" t="str">
        <f>IFERROR(__xludf.dummyfunction("""COMPUTED_VALUE"""),"16/05/2024")</f>
        <v>16/05/2024</v>
      </c>
      <c r="N58" s="3"/>
      <c r="O58" s="3" t="str">
        <f>IFERROR(__xludf.dummyfunction("""COMPUTED_VALUE"""),"0")</f>
        <v>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ht="15.75" hidden="1" customHeight="1" spans="1:29">
      <c r="A59" s="3"/>
      <c r="B59" s="3" t="str">
        <f t="array" ref="B59">_xlfn.XLOOKUP(D59,Tabela_Dados_Esc_JAB_2026[INEP],Tabela_Dados_Esc_JAB_2026[REGIONAL],"NE",0)</f>
        <v>REGIONAL 7</v>
      </c>
      <c r="C59" s="4" t="str">
        <f>IFERROR(__xludf.dummyfunction("""COMPUTED_VALUE"""),"CEMEI PROFESSORA CIBELE DE ANDRADE MENDES DE AZEVEDO")</f>
        <v>CEMEI PROFESSORA CIBELE DE ANDRADE MENDES DE AZEVEDO</v>
      </c>
      <c r="D59" s="3" t="str">
        <f>IFERROR(__xludf.dummyfunction("""COMPUTED_VALUE"""),"26193078")</f>
        <v>26193078</v>
      </c>
      <c r="E59" s="3" t="str">
        <f>IFERROR(__xludf.dummyfunction("""COMPUTED_VALUE"""),"INFANTIL 1")</f>
        <v>INFANTIL 1</v>
      </c>
      <c r="F59" s="3" t="str">
        <f>IFERROR(__xludf.dummyfunction("""COMPUTED_VALUE"""),"Integral")</f>
        <v>Integral</v>
      </c>
      <c r="G59" s="3" t="str">
        <f>IFERROR(__xludf.dummyfunction("""COMPUTED_VALUE"""),"Comum")</f>
        <v>Comum</v>
      </c>
      <c r="H59" s="3" t="str">
        <f>IFERROR(__xludf.dummyfunction("""COMPUTED_VALUE"""),"4")</f>
        <v>4</v>
      </c>
      <c r="I59" s="145" t="str">
        <f>IFERROR(__xludf.dummyfunction("""COMPUTED_VALUE"""),"26022646352")</f>
        <v>26022646352</v>
      </c>
      <c r="J59" s="3" t="str">
        <f>IFERROR(__xludf.dummyfunction("""COMPUTED_VALUE"""),"05/02/2026 15:38:24")</f>
        <v>05/02/2026 15:38:24</v>
      </c>
      <c r="K59" s="3" t="str">
        <f>IFERROR(__xludf.dummyfunction("""COMPUTED_VALUE"""),"THOMAS ENRICO RODRIGUES DE BARROS")</f>
        <v>THOMAS ENRICO RODRIGUES DE BARROS</v>
      </c>
      <c r="L59" s="146" t="str">
        <f>IFERROR(__xludf.dummyfunction("""COMPUTED_VALUE"""),"003.082.134-75")</f>
        <v>003.082.134-75</v>
      </c>
      <c r="M59" s="146" t="str">
        <f>IFERROR(__xludf.dummyfunction("""COMPUTED_VALUE"""),"19/05/2024")</f>
        <v>19/05/2024</v>
      </c>
      <c r="N59" s="3"/>
      <c r="O59" s="3" t="str">
        <f>IFERROR(__xludf.dummyfunction("""COMPUTED_VALUE"""),"0")</f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ht="15.75" hidden="1" customHeight="1" spans="1:29">
      <c r="A60" s="3"/>
      <c r="B60" s="3" t="str">
        <f t="array" ref="B60">_xlfn.XLOOKUP(D60,Tabela_Dados_Esc_JAB_2026[INEP],Tabela_Dados_Esc_JAB_2026[REGIONAL],"NE",0)</f>
        <v>REGIONAL 7</v>
      </c>
      <c r="C60" s="4" t="str">
        <f>IFERROR(__xludf.dummyfunction("""COMPUTED_VALUE"""),"CEMEI PROFESSORA CIBELE DE ANDRADE MENDES DE AZEVEDO")</f>
        <v>CEMEI PROFESSORA CIBELE DE ANDRADE MENDES DE AZEVEDO</v>
      </c>
      <c r="D60" s="3" t="str">
        <f>IFERROR(__xludf.dummyfunction("""COMPUTED_VALUE"""),"26193078")</f>
        <v>26193078</v>
      </c>
      <c r="E60" s="3" t="str">
        <f>IFERROR(__xludf.dummyfunction("""COMPUTED_VALUE"""),"INFANTIL 1")</f>
        <v>INFANTIL 1</v>
      </c>
      <c r="F60" s="3" t="str">
        <f>IFERROR(__xludf.dummyfunction("""COMPUTED_VALUE"""),"Integral")</f>
        <v>Integral</v>
      </c>
      <c r="G60" s="3" t="str">
        <f>IFERROR(__xludf.dummyfunction("""COMPUTED_VALUE"""),"Comum")</f>
        <v>Comum</v>
      </c>
      <c r="H60" s="3" t="str">
        <f>IFERROR(__xludf.dummyfunction("""COMPUTED_VALUE"""),"5")</f>
        <v>5</v>
      </c>
      <c r="I60" s="145" t="str">
        <f>IFERROR(__xludf.dummyfunction("""COMPUTED_VALUE"""),"26022733712")</f>
        <v>26022733712</v>
      </c>
      <c r="J60" s="3" t="str">
        <f>IFERROR(__xludf.dummyfunction("""COMPUTED_VALUE"""),"05/02/2026 20:35:45")</f>
        <v>05/02/2026 20:35:45</v>
      </c>
      <c r="K60" s="3" t="str">
        <f>IFERROR(__xludf.dummyfunction("""COMPUTED_VALUE"""),"YASMIM BEATRIZ DA SILVA ADRIÃO")</f>
        <v>YASMIM BEATRIZ DA SILVA ADRIÃO</v>
      </c>
      <c r="L60" s="146" t="str">
        <f>IFERROR(__xludf.dummyfunction("""COMPUTED_VALUE"""),"005.732.894-33")</f>
        <v>005.732.894-33</v>
      </c>
      <c r="M60" s="146" t="str">
        <f>IFERROR(__xludf.dummyfunction("""COMPUTED_VALUE"""),"14/03/2025")</f>
        <v>14/03/2025</v>
      </c>
      <c r="N60" s="3"/>
      <c r="O60" s="3" t="str">
        <f>IFERROR(__xludf.dummyfunction("""COMPUTED_VALUE"""),"0")</f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ht="15.75" hidden="1" customHeight="1" spans="1:29">
      <c r="A61" s="3"/>
      <c r="B61" s="3" t="str">
        <f t="array" ref="B61">_xlfn.XLOOKUP(D61,Tabela_Dados_Esc_JAB_2026[INEP],Tabela_Dados_Esc_JAB_2026[REGIONAL],"NE",0)</f>
        <v>REGIONAL 7</v>
      </c>
      <c r="C61" s="4" t="str">
        <f>IFERROR(__xludf.dummyfunction("""COMPUTED_VALUE"""),"CEMEI PROFESSORA CIBELE DE ANDRADE MENDES DE AZEVEDO")</f>
        <v>CEMEI PROFESSORA CIBELE DE ANDRADE MENDES DE AZEVEDO</v>
      </c>
      <c r="D61" s="3" t="str">
        <f>IFERROR(__xludf.dummyfunction("""COMPUTED_VALUE"""),"26193078")</f>
        <v>26193078</v>
      </c>
      <c r="E61" s="3" t="str">
        <f>IFERROR(__xludf.dummyfunction("""COMPUTED_VALUE"""),"INFANTIL 1")</f>
        <v>INFANTIL 1</v>
      </c>
      <c r="F61" s="3" t="str">
        <f>IFERROR(__xludf.dummyfunction("""COMPUTED_VALUE"""),"Integral")</f>
        <v>Integral</v>
      </c>
      <c r="G61" s="3" t="str">
        <f>IFERROR(__xludf.dummyfunction("""COMPUTED_VALUE"""),"Comum")</f>
        <v>Comum</v>
      </c>
      <c r="H61" s="3" t="str">
        <f>IFERROR(__xludf.dummyfunction("""COMPUTED_VALUE"""),"6")</f>
        <v>6</v>
      </c>
      <c r="I61" s="145" t="str">
        <f>IFERROR(__xludf.dummyfunction("""COMPUTED_VALUE"""),"26022056129")</f>
        <v>26022056129</v>
      </c>
      <c r="J61" s="3" t="str">
        <f>IFERROR(__xludf.dummyfunction("""COMPUTED_VALUE"""),"23/02/2026 14:03:33")</f>
        <v>23/02/2026 14:03:33</v>
      </c>
      <c r="K61" s="3" t="str">
        <f>IFERROR(__xludf.dummyfunction("""COMPUTED_VALUE"""),"EMANUELLY SOFIA DA SILVA")</f>
        <v>EMANUELLY SOFIA DA SILVA</v>
      </c>
      <c r="L61" s="146" t="str">
        <f>IFERROR(__xludf.dummyfunction("""COMPUTED_VALUE"""),"002.714.984-63")</f>
        <v>002.714.984-63</v>
      </c>
      <c r="M61" s="146" t="str">
        <f>IFERROR(__xludf.dummyfunction("""COMPUTED_VALUE"""),"10/04/2024")</f>
        <v>10/04/2024</v>
      </c>
      <c r="N61" s="3"/>
      <c r="O61" s="3" t="str">
        <f>IFERROR(__xludf.dummyfunction("""COMPUTED_VALUE"""),"0")</f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ht="15.75" hidden="1" customHeight="1" spans="1:29">
      <c r="A62" s="3"/>
      <c r="B62" s="3" t="str">
        <f t="array" ref="B62">_xlfn.XLOOKUP(D62,Tabela_Dados_Esc_JAB_2026[INEP],Tabela_Dados_Esc_JAB_2026[REGIONAL],"NE",0)</f>
        <v>REGIONAL 7</v>
      </c>
      <c r="C62" s="4" t="str">
        <f>IFERROR(__xludf.dummyfunction("""COMPUTED_VALUE"""),"CEMEI PROFESSORA CIBELE DE ANDRADE MENDES DE AZEVEDO")</f>
        <v>CEMEI PROFESSORA CIBELE DE ANDRADE MENDES DE AZEVEDO</v>
      </c>
      <c r="D62" s="3" t="str">
        <f>IFERROR(__xludf.dummyfunction("""COMPUTED_VALUE"""),"26193078")</f>
        <v>26193078</v>
      </c>
      <c r="E62" s="3" t="str">
        <f>IFERROR(__xludf.dummyfunction("""COMPUTED_VALUE"""),"INFANTIL 1")</f>
        <v>INFANTIL 1</v>
      </c>
      <c r="F62" s="3" t="str">
        <f>IFERROR(__xludf.dummyfunction("""COMPUTED_VALUE"""),"Integral")</f>
        <v>Integral</v>
      </c>
      <c r="G62" s="3" t="str">
        <f>IFERROR(__xludf.dummyfunction("""COMPUTED_VALUE"""),"Comum")</f>
        <v>Comum</v>
      </c>
      <c r="H62" s="3" t="str">
        <f>IFERROR(__xludf.dummyfunction("""COMPUTED_VALUE"""),"7")</f>
        <v>7</v>
      </c>
      <c r="I62" s="147" t="str">
        <f>IFERROR(__xludf.dummyfunction("""COMPUTED_VALUE"""),"26032949306")</f>
        <v>26032949306</v>
      </c>
      <c r="J62" s="3" t="str">
        <f>IFERROR(__xludf.dummyfunction("""COMPUTED_VALUE"""),"16/03/2026 10:09:54")</f>
        <v>16/03/2026 10:09:54</v>
      </c>
      <c r="K62" s="3" t="str">
        <f>IFERROR(__xludf.dummyfunction("""COMPUTED_VALUE"""),"HELENA MARIA CAVALCANTI MARTINS TORRES")</f>
        <v>HELENA MARIA CAVALCANTI MARTINS TORRES</v>
      </c>
      <c r="L62" s="146" t="str">
        <f>IFERROR(__xludf.dummyfunction("""COMPUTED_VALUE"""),"002.611.704-57")</f>
        <v>002.611.704-57</v>
      </c>
      <c r="M62" s="146" t="str">
        <f>IFERROR(__xludf.dummyfunction("""COMPUTED_VALUE"""),"15/04/2024")</f>
        <v>15/04/2024</v>
      </c>
      <c r="N62" s="3"/>
      <c r="O62" s="3" t="str">
        <f>IFERROR(__xludf.dummyfunction("""COMPUTED_VALUE"""),"0")</f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ht="15.75" hidden="1" customHeight="1" spans="1:29">
      <c r="A63" s="3"/>
      <c r="B63" s="3" t="str">
        <f t="array" ref="B63">_xlfn.XLOOKUP(D63,Tabela_Dados_Esc_JAB_2026[INEP],Tabela_Dados_Esc_JAB_2026[REGIONAL],"NE",0)</f>
        <v>REGIONAL 7</v>
      </c>
      <c r="C63" s="4" t="str">
        <f>IFERROR(__xludf.dummyfunction("""COMPUTED_VALUE"""),"CEMEI PROFESSORA CIBELE DE ANDRADE MENDES DE AZEVEDO")</f>
        <v>CEMEI PROFESSORA CIBELE DE ANDRADE MENDES DE AZEVEDO</v>
      </c>
      <c r="D63" s="3" t="str">
        <f>IFERROR(__xludf.dummyfunction("""COMPUTED_VALUE"""),"26193078")</f>
        <v>26193078</v>
      </c>
      <c r="E63" s="3" t="str">
        <f>IFERROR(__xludf.dummyfunction("""COMPUTED_VALUE"""),"INFANTIL 1")</f>
        <v>INFANTIL 1</v>
      </c>
      <c r="F63" s="3" t="str">
        <f>IFERROR(__xludf.dummyfunction("""COMPUTED_VALUE"""),"Integral")</f>
        <v>Integral</v>
      </c>
      <c r="G63" s="3" t="str">
        <f>IFERROR(__xludf.dummyfunction("""COMPUTED_VALUE"""),"Comum")</f>
        <v>Comum</v>
      </c>
      <c r="H63" s="3" t="str">
        <f>IFERROR(__xludf.dummyfunction("""COMPUTED_VALUE"""),"8")</f>
        <v>8</v>
      </c>
      <c r="I63" s="147" t="str">
        <f>IFERROR(__xludf.dummyfunction("""COMPUTED_VALUE"""),"26032567893")</f>
        <v>26032567893</v>
      </c>
      <c r="J63" s="3" t="str">
        <f>IFERROR(__xludf.dummyfunction("""COMPUTED_VALUE"""),"18/03/2026 12:28:10")</f>
        <v>18/03/2026 12:28:10</v>
      </c>
      <c r="K63" s="3" t="str">
        <f>IFERROR(__xludf.dummyfunction("""COMPUTED_VALUE"""),"LAVI EMANUEL SIQUEIRA DA SILVA")</f>
        <v>LAVI EMANUEL SIQUEIRA DA SILVA</v>
      </c>
      <c r="L63" s="146" t="str">
        <f>IFERROR(__xludf.dummyfunction("""COMPUTED_VALUE"""),"045.571.744-34")</f>
        <v>045.571.744-34</v>
      </c>
      <c r="M63" s="146" t="str">
        <f>IFERROR(__xludf.dummyfunction("""COMPUTED_VALUE"""),"19/01/2026")</f>
        <v>19/01/2026</v>
      </c>
      <c r="N63" s="3"/>
      <c r="O63" s="3" t="str">
        <f>IFERROR(__xludf.dummyfunction("""COMPUTED_VALUE"""),"0")</f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5.75" hidden="1" customHeight="1" spans="1:29">
      <c r="A64" s="3"/>
      <c r="B64" s="3" t="str">
        <f t="array" ref="B64">_xlfn.XLOOKUP(D64,Tabela_Dados_Esc_JAB_2026[INEP],Tabela_Dados_Esc_JAB_2026[REGIONAL],"NE",0)</f>
        <v>REGIONAL 7</v>
      </c>
      <c r="C64" s="4" t="str">
        <f>IFERROR(__xludf.dummyfunction("""COMPUTED_VALUE"""),"CEMEI PROFESSORA CIBELE DE ANDRADE MENDES DE AZEVEDO")</f>
        <v>CEMEI PROFESSORA CIBELE DE ANDRADE MENDES DE AZEVEDO</v>
      </c>
      <c r="D64" s="3" t="str">
        <f>IFERROR(__xludf.dummyfunction("""COMPUTED_VALUE"""),"26193078")</f>
        <v>26193078</v>
      </c>
      <c r="E64" s="3" t="str">
        <f>IFERROR(__xludf.dummyfunction("""COMPUTED_VALUE"""),"INFANTIL 1")</f>
        <v>INFANTIL 1</v>
      </c>
      <c r="F64" s="3" t="str">
        <f>IFERROR(__xludf.dummyfunction("""COMPUTED_VALUE"""),"Integral")</f>
        <v>Integral</v>
      </c>
      <c r="G64" s="3" t="str">
        <f>IFERROR(__xludf.dummyfunction("""COMPUTED_VALUE"""),"Comum")</f>
        <v>Comum</v>
      </c>
      <c r="H64" s="3" t="str">
        <f>IFERROR(__xludf.dummyfunction("""COMPUTED_VALUE"""),"9")</f>
        <v>9</v>
      </c>
      <c r="I64" s="147" t="str">
        <f>IFERROR(__xludf.dummyfunction("""COMPUTED_VALUE"""),"26032563347")</f>
        <v>26032563347</v>
      </c>
      <c r="J64" s="3" t="str">
        <f>IFERROR(__xludf.dummyfunction("""COMPUTED_VALUE"""),"26/03/2026 18:22:32")</f>
        <v>26/03/2026 18:22:32</v>
      </c>
      <c r="K64" s="3" t="str">
        <f>IFERROR(__xludf.dummyfunction("""COMPUTED_VALUE"""),"AYLA MANUELLE ALMEIDA DURVAL BRISSANTT")</f>
        <v>AYLA MANUELLE ALMEIDA DURVAL BRISSANTT</v>
      </c>
      <c r="L64" s="146" t="str">
        <f>IFERROR(__xludf.dummyfunction("""COMPUTED_VALUE"""),"004.727.814-56")</f>
        <v>004.727.814-56</v>
      </c>
      <c r="M64" s="146" t="str">
        <f>IFERROR(__xludf.dummyfunction("""COMPUTED_VALUE"""),"20/11/2024")</f>
        <v>20/11/2024</v>
      </c>
      <c r="N64" s="3"/>
      <c r="O64" s="3" t="str">
        <f>IFERROR(__xludf.dummyfunction("""COMPUTED_VALUE"""),"0")</f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ht="15.75" hidden="1" customHeight="1" spans="1:29">
      <c r="A65" s="3"/>
      <c r="B65" s="3" t="str">
        <f t="array" ref="B65">_xlfn.XLOOKUP(D65,Tabela_Dados_Esc_JAB_2026[INEP],Tabela_Dados_Esc_JAB_2026[REGIONAL],"NE",0)</f>
        <v>REGIONAL 7</v>
      </c>
      <c r="C65" s="4" t="str">
        <f>IFERROR(__xludf.dummyfunction("""COMPUTED_VALUE"""),"CEMEI PROFESSORA CIBELE DE ANDRADE MENDES DE AZEVEDO")</f>
        <v>CEMEI PROFESSORA CIBELE DE ANDRADE MENDES DE AZEVEDO</v>
      </c>
      <c r="D65" s="3" t="str">
        <f>IFERROR(__xludf.dummyfunction("""COMPUTED_VALUE"""),"26193078")</f>
        <v>26193078</v>
      </c>
      <c r="E65" s="3" t="str">
        <f>IFERROR(__xludf.dummyfunction("""COMPUTED_VALUE"""),"INFANTIL 1")</f>
        <v>INFANTIL 1</v>
      </c>
      <c r="F65" s="3" t="str">
        <f>IFERROR(__xludf.dummyfunction("""COMPUTED_VALUE"""),"Integral")</f>
        <v>Integral</v>
      </c>
      <c r="G65" s="3" t="str">
        <f>IFERROR(__xludf.dummyfunction("""COMPUTED_VALUE"""),"Comum")</f>
        <v>Comum</v>
      </c>
      <c r="H65" s="3" t="str">
        <f>IFERROR(__xludf.dummyfunction("""COMPUTED_VALUE"""),"10")</f>
        <v>10</v>
      </c>
      <c r="I65" s="147" t="str">
        <f>IFERROR(__xludf.dummyfunction("""COMPUTED_VALUE"""),"26042763377")</f>
        <v>26042763377</v>
      </c>
      <c r="J65" s="3" t="str">
        <f>IFERROR(__xludf.dummyfunction("""COMPUTED_VALUE"""),"29/04/2026 15:44:18")</f>
        <v>29/04/2026 15:44:18</v>
      </c>
      <c r="K65" s="3" t="str">
        <f>IFERROR(__xludf.dummyfunction("""COMPUTED_VALUE"""),"AYLA SOFIA CORREIA DE LIMA")</f>
        <v>AYLA SOFIA CORREIA DE LIMA</v>
      </c>
      <c r="L65" s="146" t="str">
        <f>IFERROR(__xludf.dummyfunction("""COMPUTED_VALUE"""),"006.122.294-16")</f>
        <v>006.122.294-16</v>
      </c>
      <c r="M65" s="146" t="str">
        <f>IFERROR(__xludf.dummyfunction("""COMPUTED_VALUE"""),"06/05/2025")</f>
        <v>06/05/2025</v>
      </c>
      <c r="N65" s="3"/>
      <c r="O65" s="3" t="str">
        <f>IFERROR(__xludf.dummyfunction("""COMPUTED_VALUE"""),"0")</f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ht="15.75" hidden="1" customHeight="1" spans="1:29">
      <c r="A66" s="3"/>
      <c r="B66" s="3" t="str">
        <f t="array" ref="B66">_xlfn.XLOOKUP(D66,Tabela_Dados_Esc_JAB_2026[INEP],Tabela_Dados_Esc_JAB_2026[REGIONAL],"NE",0)</f>
        <v>REGIONAL 7</v>
      </c>
      <c r="C66" s="4" t="str">
        <f>IFERROR(__xludf.dummyfunction("""COMPUTED_VALUE"""),"CEMEI PROFESSORA CIBELE DE ANDRADE MENDES DE AZEVEDO")</f>
        <v>CEMEI PROFESSORA CIBELE DE ANDRADE MENDES DE AZEVEDO</v>
      </c>
      <c r="D66" s="3" t="str">
        <f>IFERROR(__xludf.dummyfunction("""COMPUTED_VALUE"""),"26193078")</f>
        <v>26193078</v>
      </c>
      <c r="E66" s="3" t="str">
        <f>IFERROR(__xludf.dummyfunction("""COMPUTED_VALUE"""),"INFANTIL 1")</f>
        <v>INFANTIL 1</v>
      </c>
      <c r="F66" s="3" t="str">
        <f>IFERROR(__xludf.dummyfunction("""COMPUTED_VALUE"""),"Integral")</f>
        <v>Integral</v>
      </c>
      <c r="G66" s="3" t="str">
        <f>IFERROR(__xludf.dummyfunction("""COMPUTED_VALUE"""),"Comum")</f>
        <v>Comum</v>
      </c>
      <c r="H66" s="3" t="str">
        <f>IFERROR(__xludf.dummyfunction("""COMPUTED_VALUE"""),"11")</f>
        <v>11</v>
      </c>
      <c r="I66" s="147" t="str">
        <f>IFERROR(__xludf.dummyfunction("""COMPUTED_VALUE"""),"26052821025")</f>
        <v>26052821025</v>
      </c>
      <c r="J66" s="3" t="str">
        <f>IFERROR(__xludf.dummyfunction("""COMPUTED_VALUE"""),"19/05/2026 10:34:49")</f>
        <v>19/05/2026 10:34:49</v>
      </c>
      <c r="K66" s="3" t="str">
        <f>IFERROR(__xludf.dummyfunction("""COMPUTED_VALUE"""),"HARIEL CRUZ CAMPOS")</f>
        <v>HARIEL CRUZ CAMPOS</v>
      </c>
      <c r="L66" s="146" t="str">
        <f>IFERROR(__xludf.dummyfunction("""COMPUTED_VALUE"""),"017.444.294-72")</f>
        <v>017.444.294-72</v>
      </c>
      <c r="M66" s="146" t="str">
        <f>IFERROR(__xludf.dummyfunction("""COMPUTED_VALUE"""),"25/10/2025")</f>
        <v>25/10/2025</v>
      </c>
      <c r="N66" s="3"/>
      <c r="O66" s="3" t="str">
        <f>IFERROR(__xludf.dummyfunction("""COMPUTED_VALUE"""),"0")</f>
        <v>0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ht="15.75" hidden="1" customHeight="1" spans="1:29">
      <c r="A67" s="3"/>
      <c r="B67" s="3" t="str">
        <f t="array" ref="B67">_xlfn.XLOOKUP(D67,Tabela_Dados_Esc_JAB_2026[INEP],Tabela_Dados_Esc_JAB_2026[REGIONAL],"NE",0)</f>
        <v>REGIONAL 7</v>
      </c>
      <c r="C67" s="4" t="str">
        <f>IFERROR(__xludf.dummyfunction("""COMPUTED_VALUE"""),"CEMEI PROFESSORA CIBELE DE ANDRADE MENDES DE AZEVEDO")</f>
        <v>CEMEI PROFESSORA CIBELE DE ANDRADE MENDES DE AZEVEDO</v>
      </c>
      <c r="D67" s="3" t="str">
        <f>IFERROR(__xludf.dummyfunction("""COMPUTED_VALUE"""),"26193078")</f>
        <v>26193078</v>
      </c>
      <c r="E67" s="3" t="str">
        <f>IFERROR(__xludf.dummyfunction("""COMPUTED_VALUE"""),"INFANTIL 1")</f>
        <v>INFANTIL 1</v>
      </c>
      <c r="F67" s="3" t="str">
        <f>IFERROR(__xludf.dummyfunction("""COMPUTED_VALUE"""),"Integral")</f>
        <v>Integral</v>
      </c>
      <c r="G67" s="3" t="str">
        <f>IFERROR(__xludf.dummyfunction("""COMPUTED_VALUE"""),"Comum")</f>
        <v>Comum</v>
      </c>
      <c r="H67" s="3" t="str">
        <f>IFERROR(__xludf.dummyfunction("""COMPUTED_VALUE"""),"12")</f>
        <v>12</v>
      </c>
      <c r="I67" s="147" t="str">
        <f>IFERROR(__xludf.dummyfunction("""COMPUTED_VALUE"""),"26052725257")</f>
        <v>26052725257</v>
      </c>
      <c r="J67" s="3" t="str">
        <f>IFERROR(__xludf.dummyfunction("""COMPUTED_VALUE"""),"25/05/2026 18:01:52")</f>
        <v>25/05/2026 18:01:52</v>
      </c>
      <c r="K67" s="3" t="str">
        <f>IFERROR(__xludf.dummyfunction("""COMPUTED_VALUE"""),"Naomi Uehara Alves da Silva")</f>
        <v>Naomi Uehara Alves da Silva</v>
      </c>
      <c r="L67" s="146" t="str">
        <f>IFERROR(__xludf.dummyfunction("""COMPUTED_VALUE"""),"005.944.274-36")</f>
        <v>005.944.274-36</v>
      </c>
      <c r="M67" s="146" t="str">
        <f>IFERROR(__xludf.dummyfunction("""COMPUTED_VALUE"""),"15/04/2025")</f>
        <v>15/04/2025</v>
      </c>
      <c r="N67" s="3"/>
      <c r="O67" s="3" t="str">
        <f>IFERROR(__xludf.dummyfunction("""COMPUTED_VALUE"""),"0")</f>
        <v>0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ht="15.75" hidden="1" customHeight="1" spans="1:29">
      <c r="A68" s="3"/>
      <c r="B68" s="3" t="str">
        <f t="array" ref="B68">_xlfn.XLOOKUP(D68,Tabela_Dados_Esc_JAB_2026[INEP],Tabela_Dados_Esc_JAB_2026[REGIONAL],"NE",0)</f>
        <v>REGIONAL 7</v>
      </c>
      <c r="C68" s="4" t="str">
        <f>IFERROR(__xludf.dummyfunction("""COMPUTED_VALUE"""),"CEMEI PROFESSORA CIBELE DE ANDRADE MENDES DE AZEVEDO")</f>
        <v>CEMEI PROFESSORA CIBELE DE ANDRADE MENDES DE AZEVEDO</v>
      </c>
      <c r="D68" s="3" t="str">
        <f>IFERROR(__xludf.dummyfunction("""COMPUTED_VALUE"""),"26193078")</f>
        <v>26193078</v>
      </c>
      <c r="E68" s="3" t="str">
        <f>IFERROR(__xludf.dummyfunction("""COMPUTED_VALUE"""),"INFANTIL 1")</f>
        <v>INFANTIL 1</v>
      </c>
      <c r="F68" s="3" t="str">
        <f>IFERROR(__xludf.dummyfunction("""COMPUTED_VALUE"""),"Integral")</f>
        <v>Integral</v>
      </c>
      <c r="G68" s="3" t="str">
        <f>IFERROR(__xludf.dummyfunction("""COMPUTED_VALUE"""),"Comum")</f>
        <v>Comum</v>
      </c>
      <c r="H68" s="3" t="str">
        <f>IFERROR(__xludf.dummyfunction("""COMPUTED_VALUE"""),"13")</f>
        <v>13</v>
      </c>
      <c r="I68" s="147" t="str">
        <f>IFERROR(__xludf.dummyfunction("""COMPUTED_VALUE"""),"26072282371")</f>
        <v>26072282371</v>
      </c>
      <c r="J68" s="3" t="str">
        <f>IFERROR(__xludf.dummyfunction("""COMPUTED_VALUE"""),"10/07/2026 10:10:23")</f>
        <v>10/07/2026 10:10:23</v>
      </c>
      <c r="K68" s="3" t="str">
        <f>IFERROR(__xludf.dummyfunction("""COMPUTED_VALUE"""),"Cecília rafaelle de santana Ferreira")</f>
        <v>Cecília rafaelle de santana Ferreira</v>
      </c>
      <c r="L68" s="146" t="str">
        <f>IFERROR(__xludf.dummyfunction("""COMPUTED_VALUE"""),"004.210.464-57")</f>
        <v>004.210.464-57</v>
      </c>
      <c r="M68" s="146" t="str">
        <f>IFERROR(__xludf.dummyfunction("""COMPUTED_VALUE"""),"31/08/2024")</f>
        <v>31/08/2024</v>
      </c>
      <c r="N68" s="3"/>
      <c r="O68" s="3" t="str">
        <f>IFERROR(__xludf.dummyfunction("""COMPUTED_VALUE"""),"0")</f>
        <v>0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ht="15.75" hidden="1" customHeight="1" spans="1:29">
      <c r="A69" s="3"/>
      <c r="B69" s="3" t="str">
        <f t="array" ref="B69">_xlfn.XLOOKUP(D69,Tabela_Dados_Esc_JAB_2026[INEP],Tabela_Dados_Esc_JAB_2026[REGIONAL],"NE",0)</f>
        <v>REGIONAL 7</v>
      </c>
      <c r="C69" s="4" t="str">
        <f>IFERROR(__xludf.dummyfunction("""COMPUTED_VALUE"""),"CEMEI PROFESSORA CIBELE DE ANDRADE MENDES DE AZEVEDO")</f>
        <v>CEMEI PROFESSORA CIBELE DE ANDRADE MENDES DE AZEVEDO</v>
      </c>
      <c r="D69" s="3" t="str">
        <f>IFERROR(__xludf.dummyfunction("""COMPUTED_VALUE"""),"26193078")</f>
        <v>26193078</v>
      </c>
      <c r="E69" s="3" t="str">
        <f>IFERROR(__xludf.dummyfunction("""COMPUTED_VALUE"""),"INFANTIL 1")</f>
        <v>INFANTIL 1</v>
      </c>
      <c r="F69" s="3" t="str">
        <f>IFERROR(__xludf.dummyfunction("""COMPUTED_VALUE"""),"Integral")</f>
        <v>Integral</v>
      </c>
      <c r="G69" s="3" t="str">
        <f>IFERROR(__xludf.dummyfunction("""COMPUTED_VALUE"""),"Comum")</f>
        <v>Comum</v>
      </c>
      <c r="H69" s="3" t="str">
        <f>IFERROR(__xludf.dummyfunction("""COMPUTED_VALUE"""),"14")</f>
        <v>14</v>
      </c>
      <c r="I69" s="147" t="str">
        <f>IFERROR(__xludf.dummyfunction("""COMPUTED_VALUE"""),"26082029442")</f>
        <v>26082029442</v>
      </c>
      <c r="J69" s="3" t="str">
        <f>IFERROR(__xludf.dummyfunction("""COMPUTED_VALUE"""),"07/08/2026 09:49:30")</f>
        <v>07/08/2026 09:49:30</v>
      </c>
      <c r="K69" s="3" t="str">
        <f>IFERROR(__xludf.dummyfunction("""COMPUTED_VALUE"""),"Pedro Mikael vieira da Silva")</f>
        <v>Pedro Mikael vieira da Silva</v>
      </c>
      <c r="L69" s="146" t="str">
        <f>IFERROR(__xludf.dummyfunction("""COMPUTED_VALUE"""),"004.703.434-35")</f>
        <v>004.703.434-35</v>
      </c>
      <c r="M69" s="146" t="str">
        <f>IFERROR(__xludf.dummyfunction("""COMPUTED_VALUE"""),"28/11/2024")</f>
        <v>28/11/2024</v>
      </c>
      <c r="N69" s="3"/>
      <c r="O69" s="3" t="str">
        <f>IFERROR(__xludf.dummyfunction("""COMPUTED_VALUE"""),"0")</f>
        <v>0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ht="15.75" hidden="1" customHeight="1" spans="1:29">
      <c r="A70" s="3"/>
      <c r="B70" s="3" t="str">
        <f t="array" ref="B70">_xlfn.XLOOKUP(D70,Tabela_Dados_Esc_JAB_2026[INEP],Tabela_Dados_Esc_JAB_2026[REGIONAL],"NE",0)</f>
        <v>REGIONAL 7</v>
      </c>
      <c r="C70" s="4" t="str">
        <f>IFERROR(__xludf.dummyfunction("""COMPUTED_VALUE"""),"CEMEI PROFESSORA CIBELE DE ANDRADE MENDES DE AZEVEDO")</f>
        <v>CEMEI PROFESSORA CIBELE DE ANDRADE MENDES DE AZEVEDO</v>
      </c>
      <c r="D70" s="3" t="str">
        <f>IFERROR(__xludf.dummyfunction("""COMPUTED_VALUE"""),"26193078")</f>
        <v>26193078</v>
      </c>
      <c r="E70" s="3" t="str">
        <f>IFERROR(__xludf.dummyfunction("""COMPUTED_VALUE"""),"INFANTIL 1")</f>
        <v>INFANTIL 1</v>
      </c>
      <c r="F70" s="3" t="str">
        <f>IFERROR(__xludf.dummyfunction("""COMPUTED_VALUE"""),"Integral")</f>
        <v>Integral</v>
      </c>
      <c r="G70" s="3" t="str">
        <f>IFERROR(__xludf.dummyfunction("""COMPUTED_VALUE"""),"Comum")</f>
        <v>Comum</v>
      </c>
      <c r="H70" s="3" t="str">
        <f>IFERROR(__xludf.dummyfunction("""COMPUTED_VALUE"""),"15")</f>
        <v>15</v>
      </c>
      <c r="I70" s="147" t="str">
        <f>IFERROR(__xludf.dummyfunction("""COMPUTED_VALUE"""),"26082498938")</f>
        <v>26082498938</v>
      </c>
      <c r="J70" s="3" t="str">
        <f>IFERROR(__xludf.dummyfunction("""COMPUTED_VALUE"""),"13/08/2026 11:11:04")</f>
        <v>13/08/2026 11:11:04</v>
      </c>
      <c r="K70" s="3" t="str">
        <f>IFERROR(__xludf.dummyfunction("""COMPUTED_VALUE"""),"ANDRÉ LUIZ DE MELO SILVA")</f>
        <v>ANDRÉ LUIZ DE MELO SILVA</v>
      </c>
      <c r="L70" s="146" t="str">
        <f>IFERROR(__xludf.dummyfunction("""COMPUTED_VALUE"""),"033.619.694-68")</f>
        <v>033.619.694-68</v>
      </c>
      <c r="M70" s="146" t="str">
        <f>IFERROR(__xludf.dummyfunction("""COMPUTED_VALUE"""),"08/12/2025")</f>
        <v>08/12/2025</v>
      </c>
      <c r="N70" s="3"/>
      <c r="O70" s="3" t="str">
        <f>IFERROR(__xludf.dummyfunction("""COMPUTED_VALUE"""),"0")</f>
        <v>0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ht="15.75" hidden="1" customHeight="1" spans="1:29">
      <c r="A71" s="3"/>
      <c r="B71" s="3" t="str">
        <f t="array" ref="B71">_xlfn.XLOOKUP(D71,Tabela_Dados_Esc_JAB_2026[INEP],Tabela_Dados_Esc_JAB_2026[REGIONAL],"NE",0)</f>
        <v>REGIONAL 7</v>
      </c>
      <c r="C71" s="4" t="str">
        <f>IFERROR(__xludf.dummyfunction("""COMPUTED_VALUE"""),"CEMEI PROFESSORA CIBELE DE ANDRADE MENDES DE AZEVEDO")</f>
        <v>CEMEI PROFESSORA CIBELE DE ANDRADE MENDES DE AZEVEDO</v>
      </c>
      <c r="D71" s="3" t="str">
        <f>IFERROR(__xludf.dummyfunction("""COMPUTED_VALUE"""),"26193078")</f>
        <v>26193078</v>
      </c>
      <c r="E71" s="3" t="str">
        <f>IFERROR(__xludf.dummyfunction("""COMPUTED_VALUE"""),"INFANTIL 2")</f>
        <v>INFANTIL 2</v>
      </c>
      <c r="F71" s="3" t="str">
        <f>IFERROR(__xludf.dummyfunction("""COMPUTED_VALUE"""),"Integral")</f>
        <v>Integral</v>
      </c>
      <c r="G71" s="3" t="str">
        <f>IFERROR(__xludf.dummyfunction("""COMPUTED_VALUE"""),"Comum")</f>
        <v>Comum</v>
      </c>
      <c r="H71" s="3" t="str">
        <f>IFERROR(__xludf.dummyfunction("""COMPUTED_VALUE"""),"1")</f>
        <v>1</v>
      </c>
      <c r="I71" s="147" t="str">
        <f>IFERROR(__xludf.dummyfunction("""COMPUTED_VALUE"""),"26052250558")</f>
        <v>26052250558</v>
      </c>
      <c r="J71" s="3" t="str">
        <f>IFERROR(__xludf.dummyfunction("""COMPUTED_VALUE"""),"25/05/2026 18:09:35")</f>
        <v>25/05/2026 18:09:35</v>
      </c>
      <c r="K71" s="3" t="str">
        <f>IFERROR(__xludf.dummyfunction("""COMPUTED_VALUE"""),"Anthony Gabriel Alves Teixeira da silva")</f>
        <v>Anthony Gabriel Alves Teixeira da silva</v>
      </c>
      <c r="L71" s="146" t="str">
        <f>IFERROR(__xludf.dummyfunction("""COMPUTED_VALUE"""),"002.138.204-20")</f>
        <v>002.138.204-20</v>
      </c>
      <c r="M71" s="146" t="str">
        <f>IFERROR(__xludf.dummyfunction("""COMPUTED_VALUE"""),"29/02/2024")</f>
        <v>29/02/2024</v>
      </c>
      <c r="N71" s="3"/>
      <c r="O71" s="3" t="str">
        <f>IFERROR(__xludf.dummyfunction("""COMPUTED_VALUE"""),"0")</f>
        <v>0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ht="15.75" hidden="1" customHeight="1" spans="1:29">
      <c r="A72" s="3"/>
      <c r="B72" s="3" t="str">
        <f t="array" ref="B72">_xlfn.XLOOKUP(D72,Tabela_Dados_Esc_JAB_2026[INEP],Tabela_Dados_Esc_JAB_2026[REGIONAL],"NE",0)</f>
        <v>REGIONAL 7</v>
      </c>
      <c r="C72" s="4" t="str">
        <f>IFERROR(__xludf.dummyfunction("""COMPUTED_VALUE"""),"CEMEI PROFESSORA CIBELE DE ANDRADE MENDES DE AZEVEDO")</f>
        <v>CEMEI PROFESSORA CIBELE DE ANDRADE MENDES DE AZEVEDO</v>
      </c>
      <c r="D72" s="3" t="str">
        <f>IFERROR(__xludf.dummyfunction("""COMPUTED_VALUE"""),"26193078")</f>
        <v>26193078</v>
      </c>
      <c r="E72" s="3" t="str">
        <f>IFERROR(__xludf.dummyfunction("""COMPUTED_VALUE"""),"INFANTIL 2")</f>
        <v>INFANTIL 2</v>
      </c>
      <c r="F72" s="3" t="str">
        <f>IFERROR(__xludf.dummyfunction("""COMPUTED_VALUE"""),"Integral")</f>
        <v>Integral</v>
      </c>
      <c r="G72" s="3" t="str">
        <f>IFERROR(__xludf.dummyfunction("""COMPUTED_VALUE"""),"Comum")</f>
        <v>Comum</v>
      </c>
      <c r="H72" s="3" t="str">
        <f>IFERROR(__xludf.dummyfunction("""COMPUTED_VALUE"""),"2")</f>
        <v>2</v>
      </c>
      <c r="I72" s="147" t="str">
        <f>IFERROR(__xludf.dummyfunction("""COMPUTED_VALUE"""),"26072032928")</f>
        <v>26072032928</v>
      </c>
      <c r="J72" s="3" t="str">
        <f>IFERROR(__xludf.dummyfunction("""COMPUTED_VALUE"""),"15/07/2026 09:23:39")</f>
        <v>15/07/2026 09:23:39</v>
      </c>
      <c r="K72" s="3" t="str">
        <f>IFERROR(__xludf.dummyfunction("""COMPUTED_VALUE"""),"Kaue Leandro da Silva")</f>
        <v>Kaue Leandro da Silva</v>
      </c>
      <c r="L72" s="146" t="str">
        <f>IFERROR(__xludf.dummyfunction("""COMPUTED_VALUE"""),"186.590.934-37")</f>
        <v>186.590.934-37</v>
      </c>
      <c r="M72" s="146" t="str">
        <f>IFERROR(__xludf.dummyfunction("""COMPUTED_VALUE"""),"18/09/2023")</f>
        <v>18/09/2023</v>
      </c>
      <c r="N72" s="3"/>
      <c r="O72" s="3" t="str">
        <f>IFERROR(__xludf.dummyfunction("""COMPUTED_VALUE"""),"0")</f>
        <v>0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ht="15.75" hidden="1" customHeight="1" spans="1:29">
      <c r="A73" s="3"/>
      <c r="B73" s="3" t="str">
        <f t="array" ref="B73">_xlfn.XLOOKUP(D73,Tabela_Dados_Esc_JAB_2026[INEP],Tabela_Dados_Esc_JAB_2026[REGIONAL],"NE",0)</f>
        <v>REGIONAL 7</v>
      </c>
      <c r="C73" s="4" t="str">
        <f>IFERROR(__xludf.dummyfunction("""COMPUTED_VALUE"""),"CEMEI PROFESSORA CIBELE DE ANDRADE MENDES DE AZEVEDO")</f>
        <v>CEMEI PROFESSORA CIBELE DE ANDRADE MENDES DE AZEVEDO</v>
      </c>
      <c r="D73" s="3" t="str">
        <f>IFERROR(__xludf.dummyfunction("""COMPUTED_VALUE"""),"26193078")</f>
        <v>26193078</v>
      </c>
      <c r="E73" s="3" t="str">
        <f>IFERROR(__xludf.dummyfunction("""COMPUTED_VALUE"""),"INFANTIL 2")</f>
        <v>INFANTIL 2</v>
      </c>
      <c r="F73" s="3" t="str">
        <f>IFERROR(__xludf.dummyfunction("""COMPUTED_VALUE"""),"Integral")</f>
        <v>Integral</v>
      </c>
      <c r="G73" s="3" t="str">
        <f>IFERROR(__xludf.dummyfunction("""COMPUTED_VALUE"""),"Comum")</f>
        <v>Comum</v>
      </c>
      <c r="H73" s="3" t="str">
        <f>IFERROR(__xludf.dummyfunction("""COMPUTED_VALUE"""),"3")</f>
        <v>3</v>
      </c>
      <c r="I73" s="147" t="str">
        <f>IFERROR(__xludf.dummyfunction("""COMPUTED_VALUE"""),"26072993270")</f>
        <v>26072993270</v>
      </c>
      <c r="J73" s="3" t="str">
        <f>IFERROR(__xludf.dummyfunction("""COMPUTED_VALUE"""),"15/07/2026 09:23:44")</f>
        <v>15/07/2026 09:23:44</v>
      </c>
      <c r="K73" s="3" t="str">
        <f>IFERROR(__xludf.dummyfunction("""COMPUTED_VALUE"""),"Miguel rhavi de Amorim")</f>
        <v>Miguel rhavi de Amorim</v>
      </c>
      <c r="L73" s="146" t="str">
        <f>IFERROR(__xludf.dummyfunction("""COMPUTED_VALUE"""),"001.025.094-84")</f>
        <v>001.025.094-84</v>
      </c>
      <c r="M73" s="146" t="str">
        <f>IFERROR(__xludf.dummyfunction("""COMPUTED_VALUE"""),"19/09/2023")</f>
        <v>19/09/2023</v>
      </c>
      <c r="N73" s="3"/>
      <c r="O73" s="3" t="str">
        <f>IFERROR(__xludf.dummyfunction("""COMPUTED_VALUE"""),"0")</f>
        <v>0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15.75" hidden="1" customHeight="1" spans="1:29">
      <c r="A74" s="3"/>
      <c r="B74" s="3" t="str">
        <f t="array" ref="B74">_xlfn.XLOOKUP(D74,Tabela_Dados_Esc_JAB_2026[INEP],Tabela_Dados_Esc_JAB_2026[REGIONAL],"NE",0)</f>
        <v>REGIONAL 7</v>
      </c>
      <c r="C74" s="4" t="str">
        <f>IFERROR(__xludf.dummyfunction("""COMPUTED_VALUE"""),"CEMEI PROFESSORA CIBELE DE ANDRADE MENDES DE AZEVEDO")</f>
        <v>CEMEI PROFESSORA CIBELE DE ANDRADE MENDES DE AZEVEDO</v>
      </c>
      <c r="D74" s="3" t="str">
        <f>IFERROR(__xludf.dummyfunction("""COMPUTED_VALUE"""),"26193078")</f>
        <v>26193078</v>
      </c>
      <c r="E74" s="3" t="str">
        <f>IFERROR(__xludf.dummyfunction("""COMPUTED_VALUE"""),"INFANTIL 2")</f>
        <v>INFANTIL 2</v>
      </c>
      <c r="F74" s="3" t="str">
        <f>IFERROR(__xludf.dummyfunction("""COMPUTED_VALUE"""),"Integral")</f>
        <v>Integral</v>
      </c>
      <c r="G74" s="3" t="str">
        <f>IFERROR(__xludf.dummyfunction("""COMPUTED_VALUE"""),"Comum")</f>
        <v>Comum</v>
      </c>
      <c r="H74" s="3" t="str">
        <f>IFERROR(__xludf.dummyfunction("""COMPUTED_VALUE"""),"4")</f>
        <v>4</v>
      </c>
      <c r="I74" s="147" t="str">
        <f>IFERROR(__xludf.dummyfunction("""COMPUTED_VALUE"""),"26082476540")</f>
        <v>26082476540</v>
      </c>
      <c r="J74" s="3" t="str">
        <f>IFERROR(__xludf.dummyfunction("""COMPUTED_VALUE"""),"10/08/2026 08:46:38")</f>
        <v>10/08/2026 08:46:38</v>
      </c>
      <c r="K74" s="3" t="str">
        <f>IFERROR(__xludf.dummyfunction("""COMPUTED_VALUE"""),"Maria Isadora França Gomes")</f>
        <v>Maria Isadora França Gomes</v>
      </c>
      <c r="L74" s="146" t="str">
        <f>IFERROR(__xludf.dummyfunction("""COMPUTED_VALUE"""),"186.202.454-57")</f>
        <v>186.202.454-57</v>
      </c>
      <c r="M74" s="146" t="str">
        <f>IFERROR(__xludf.dummyfunction("""COMPUTED_VALUE"""),"07/08/2023")</f>
        <v>07/08/2023</v>
      </c>
      <c r="N74" s="3"/>
      <c r="O74" s="3" t="str">
        <f>IFERROR(__xludf.dummyfunction("""COMPUTED_VALUE"""),"0")</f>
        <v>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15.75" hidden="1" customHeight="1" spans="1:29">
      <c r="A75" s="3"/>
      <c r="B75" s="3" t="str">
        <f t="array" ref="B75">_xlfn.XLOOKUP(D75,Tabela_Dados_Esc_JAB_2026[INEP],Tabela_Dados_Esc_JAB_2026[REGIONAL],"NE",0)</f>
        <v>REGIONAL 7</v>
      </c>
      <c r="C75" s="4" t="str">
        <f>IFERROR(__xludf.dummyfunction("""COMPUTED_VALUE"""),"CEMEI PROFESSORA CIBELE DE ANDRADE MENDES DE AZEVEDO")</f>
        <v>CEMEI PROFESSORA CIBELE DE ANDRADE MENDES DE AZEVEDO</v>
      </c>
      <c r="D75" s="3" t="str">
        <f>IFERROR(__xludf.dummyfunction("""COMPUTED_VALUE"""),"26193078")</f>
        <v>26193078</v>
      </c>
      <c r="E75" s="3" t="str">
        <f>IFERROR(__xludf.dummyfunction("""COMPUTED_VALUE"""),"INFANTIL 3")</f>
        <v>INFANTIL 3</v>
      </c>
      <c r="F75" s="3" t="str">
        <f>IFERROR(__xludf.dummyfunction("""COMPUTED_VALUE"""),"Integral")</f>
        <v>Integral</v>
      </c>
      <c r="G75" s="3" t="str">
        <f>IFERROR(__xludf.dummyfunction("""COMPUTED_VALUE"""),"Comum")</f>
        <v>Comum</v>
      </c>
      <c r="H75" s="3" t="str">
        <f>IFERROR(__xludf.dummyfunction("""COMPUTED_VALUE"""),"1")</f>
        <v>1</v>
      </c>
      <c r="I75" s="147" t="str">
        <f>IFERROR(__xludf.dummyfunction("""COMPUTED_VALUE"""),"26032700341")</f>
        <v>26032700341</v>
      </c>
      <c r="J75" s="3" t="str">
        <f>IFERROR(__xludf.dummyfunction("""COMPUTED_VALUE"""),"09/03/2026 13:36:35")</f>
        <v>09/03/2026 13:36:35</v>
      </c>
      <c r="K75" s="3" t="str">
        <f>IFERROR(__xludf.dummyfunction("""COMPUTED_VALUE"""),"BRAYAN MENDES")</f>
        <v>BRAYAN MENDES</v>
      </c>
      <c r="L75" s="146" t="str">
        <f>IFERROR(__xludf.dummyfunction("""COMPUTED_VALUE"""),"006.823.174-11")</f>
        <v>006.823.174-11</v>
      </c>
      <c r="M75" s="146" t="str">
        <f>IFERROR(__xludf.dummyfunction("""COMPUTED_VALUE"""),"07/02/2023")</f>
        <v>07/02/2023</v>
      </c>
      <c r="N75" s="3"/>
      <c r="O75" s="3" t="str">
        <f>IFERROR(__xludf.dummyfunction("""COMPUTED_VALUE"""),"0")</f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15.75" hidden="1" customHeight="1" spans="1:29">
      <c r="A76" s="3"/>
      <c r="B76" s="3" t="str">
        <f t="array" ref="B76">_xlfn.XLOOKUP(D76,Tabela_Dados_Esc_JAB_2026[INEP],Tabela_Dados_Esc_JAB_2026[REGIONAL],"NE",0)</f>
        <v>REGIONAL 7</v>
      </c>
      <c r="C76" s="4" t="str">
        <f>IFERROR(__xludf.dummyfunction("""COMPUTED_VALUE"""),"CEMEI PROFESSORA CIBELE DE ANDRADE MENDES DE AZEVEDO")</f>
        <v>CEMEI PROFESSORA CIBELE DE ANDRADE MENDES DE AZEVEDO</v>
      </c>
      <c r="D76" s="3" t="str">
        <f>IFERROR(__xludf.dummyfunction("""COMPUTED_VALUE"""),"26193078")</f>
        <v>26193078</v>
      </c>
      <c r="E76" s="3" t="str">
        <f>IFERROR(__xludf.dummyfunction("""COMPUTED_VALUE"""),"INFANTIL 3")</f>
        <v>INFANTIL 3</v>
      </c>
      <c r="F76" s="3" t="str">
        <f>IFERROR(__xludf.dummyfunction("""COMPUTED_VALUE"""),"Integral")</f>
        <v>Integral</v>
      </c>
      <c r="G76" s="3" t="str">
        <f>IFERROR(__xludf.dummyfunction("""COMPUTED_VALUE"""),"Comum")</f>
        <v>Comum</v>
      </c>
      <c r="H76" s="3" t="str">
        <f>IFERROR(__xludf.dummyfunction("""COMPUTED_VALUE"""),"2")</f>
        <v>2</v>
      </c>
      <c r="I76" s="147" t="str">
        <f>IFERROR(__xludf.dummyfunction("""COMPUTED_VALUE"""),"26042541417")</f>
        <v>26042541417</v>
      </c>
      <c r="J76" s="3" t="str">
        <f>IFERROR(__xludf.dummyfunction("""COMPUTED_VALUE"""),"23/04/2026 10:57:36")</f>
        <v>23/04/2026 10:57:36</v>
      </c>
      <c r="K76" s="3" t="str">
        <f>IFERROR(__xludf.dummyfunction("""COMPUTED_VALUE"""),"AYLLA VALENTINA SOUZA DOS SANTOS")</f>
        <v>AYLLA VALENTINA SOUZA DOS SANTOS</v>
      </c>
      <c r="L76" s="146" t="str">
        <f>IFERROR(__xludf.dummyfunction("""COMPUTED_VALUE"""),"183.494.434-13")</f>
        <v>183.494.434-13</v>
      </c>
      <c r="M76" s="146" t="str">
        <f>IFERROR(__xludf.dummyfunction("""COMPUTED_VALUE"""),"18/11/2022")</f>
        <v>18/11/2022</v>
      </c>
      <c r="N76" s="3"/>
      <c r="O76" s="3" t="str">
        <f>IFERROR(__xludf.dummyfunction("""COMPUTED_VALUE"""),"0")</f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15.75" hidden="1" customHeight="1" spans="1:29">
      <c r="A77" s="3"/>
      <c r="B77" s="3" t="str">
        <f t="array" ref="B77">_xlfn.XLOOKUP(D77,Tabela_Dados_Esc_JAB_2026[INEP],Tabela_Dados_Esc_JAB_2026[REGIONAL],"NE",0)</f>
        <v>REGIONAL 7</v>
      </c>
      <c r="C77" s="4" t="str">
        <f>IFERROR(__xludf.dummyfunction("""COMPUTED_VALUE"""),"CEMEI PROFESSORA CIBELE DE ANDRADE MENDES DE AZEVEDO")</f>
        <v>CEMEI PROFESSORA CIBELE DE ANDRADE MENDES DE AZEVEDO</v>
      </c>
      <c r="D77" s="3" t="str">
        <f>IFERROR(__xludf.dummyfunction("""COMPUTED_VALUE"""),"26193078")</f>
        <v>26193078</v>
      </c>
      <c r="E77" s="3" t="str">
        <f>IFERROR(__xludf.dummyfunction("""COMPUTED_VALUE"""),"INFANTIL 3")</f>
        <v>INFANTIL 3</v>
      </c>
      <c r="F77" s="3" t="str">
        <f>IFERROR(__xludf.dummyfunction("""COMPUTED_VALUE"""),"Integral")</f>
        <v>Integral</v>
      </c>
      <c r="G77" s="3" t="str">
        <f>IFERROR(__xludf.dummyfunction("""COMPUTED_VALUE"""),"Comum")</f>
        <v>Comum</v>
      </c>
      <c r="H77" s="3" t="str">
        <f>IFERROR(__xludf.dummyfunction("""COMPUTED_VALUE"""),"3")</f>
        <v>3</v>
      </c>
      <c r="I77" s="147" t="str">
        <f>IFERROR(__xludf.dummyfunction("""COMPUTED_VALUE"""),"26052923727")</f>
        <v>26052923727</v>
      </c>
      <c r="J77" s="3" t="str">
        <f>IFERROR(__xludf.dummyfunction("""COMPUTED_VALUE"""),"13/05/2026 10:59:27")</f>
        <v>13/05/2026 10:59:27</v>
      </c>
      <c r="K77" s="3" t="str">
        <f>IFERROR(__xludf.dummyfunction("""COMPUTED_VALUE"""),"REBECA LUANA DA SILVA MILANEZ")</f>
        <v>REBECA LUANA DA SILVA MILANEZ</v>
      </c>
      <c r="L77" s="146" t="str">
        <f>IFERROR(__xludf.dummyfunction("""COMPUTED_VALUE"""),"182.950.714-16")</f>
        <v>182.950.714-16</v>
      </c>
      <c r="M77" s="146" t="str">
        <f>IFERROR(__xludf.dummyfunction("""COMPUTED_VALUE"""),"21/09/2022")</f>
        <v>21/09/2022</v>
      </c>
      <c r="N77" s="3"/>
      <c r="O77" s="3" t="str">
        <f>IFERROR(__xludf.dummyfunction("""COMPUTED_VALUE"""),"0")</f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15.75" hidden="1" customHeight="1" spans="1:29">
      <c r="A78" s="3"/>
      <c r="B78" s="3" t="str">
        <f t="array" ref="B78">_xlfn.XLOOKUP(D78,Tabela_Dados_Esc_JAB_2026[INEP],Tabela_Dados_Esc_JAB_2026[REGIONAL],"NE",0)</f>
        <v>REGIONAL 5</v>
      </c>
      <c r="C78" s="4" t="str">
        <f>IFERROR(__xludf.dummyfunction("""COMPUTED_VALUE"""),"CEMEI PROFESSORA LINDOMAR DOMINGOS DA SILVA ANJOS")</f>
        <v>CEMEI PROFESSORA LINDOMAR DOMINGOS DA SILVA ANJOS</v>
      </c>
      <c r="D78" s="3" t="str">
        <f>IFERROR(__xludf.dummyfunction("""COMPUTED_VALUE"""),"26191296")</f>
        <v>26191296</v>
      </c>
      <c r="E78" s="3" t="str">
        <f>IFERROR(__xludf.dummyfunction("""COMPUTED_VALUE"""),"INFANTIL 1")</f>
        <v>INFANTIL 1</v>
      </c>
      <c r="F78" s="3" t="str">
        <f>IFERROR(__xludf.dummyfunction("""COMPUTED_VALUE"""),"Integral")</f>
        <v>Integral</v>
      </c>
      <c r="G78" s="3" t="str">
        <f>IFERROR(__xludf.dummyfunction("""COMPUTED_VALUE"""),"Comum")</f>
        <v>Comum</v>
      </c>
      <c r="H78" s="3" t="str">
        <f>IFERROR(__xludf.dummyfunction("""COMPUTED_VALUE"""),"1")</f>
        <v>1</v>
      </c>
      <c r="I78" s="147" t="str">
        <f>IFERROR(__xludf.dummyfunction("""COMPUTED_VALUE"""),"26012074592")</f>
        <v>26012074592</v>
      </c>
      <c r="J78" s="3" t="str">
        <f>IFERROR(__xludf.dummyfunction("""COMPUTED_VALUE"""),"28/01/2026 08:08:37")</f>
        <v>28/01/2026 08:08:37</v>
      </c>
      <c r="K78" s="3" t="str">
        <f>IFERROR(__xludf.dummyfunction("""COMPUTED_VALUE"""),"BRYAN ARTHUR COSTA SILVA")</f>
        <v>BRYAN ARTHUR COSTA SILVA</v>
      </c>
      <c r="L78" s="146" t="str">
        <f>IFERROR(__xludf.dummyfunction("""COMPUTED_VALUE"""),"004.069.734-74")</f>
        <v>004.069.734-74</v>
      </c>
      <c r="M78" s="146" t="str">
        <f>IFERROR(__xludf.dummyfunction("""COMPUTED_VALUE"""),"13/09/2024")</f>
        <v>13/09/2024</v>
      </c>
      <c r="N78" s="3"/>
      <c r="O78" s="3" t="str">
        <f>IFERROR(__xludf.dummyfunction("""COMPUTED_VALUE"""),"0")</f>
        <v>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15.75" hidden="1" customHeight="1" spans="1:29">
      <c r="A79" s="3"/>
      <c r="B79" s="3" t="str">
        <f t="array" ref="B79">_xlfn.XLOOKUP(D79,Tabela_Dados_Esc_JAB_2026[INEP],Tabela_Dados_Esc_JAB_2026[REGIONAL],"NE",0)</f>
        <v>REGIONAL 5</v>
      </c>
      <c r="C79" s="4" t="str">
        <f>IFERROR(__xludf.dummyfunction("""COMPUTED_VALUE"""),"CEMEI PROFESSORA LINDOMAR DOMINGOS DA SILVA ANJOS")</f>
        <v>CEMEI PROFESSORA LINDOMAR DOMINGOS DA SILVA ANJOS</v>
      </c>
      <c r="D79" s="3" t="str">
        <f>IFERROR(__xludf.dummyfunction("""COMPUTED_VALUE"""),"26191296")</f>
        <v>26191296</v>
      </c>
      <c r="E79" s="3" t="str">
        <f>IFERROR(__xludf.dummyfunction("""COMPUTED_VALUE"""),"INFANTIL 1")</f>
        <v>INFANTIL 1</v>
      </c>
      <c r="F79" s="3" t="str">
        <f>IFERROR(__xludf.dummyfunction("""COMPUTED_VALUE"""),"Integral")</f>
        <v>Integral</v>
      </c>
      <c r="G79" s="3" t="str">
        <f>IFERROR(__xludf.dummyfunction("""COMPUTED_VALUE"""),"Comum")</f>
        <v>Comum</v>
      </c>
      <c r="H79" s="3" t="str">
        <f>IFERROR(__xludf.dummyfunction("""COMPUTED_VALUE"""),"2")</f>
        <v>2</v>
      </c>
      <c r="I79" s="147" t="str">
        <f>IFERROR(__xludf.dummyfunction("""COMPUTED_VALUE"""),"26012364070")</f>
        <v>26012364070</v>
      </c>
      <c r="J79" s="3" t="str">
        <f>IFERROR(__xludf.dummyfunction("""COMPUTED_VALUE"""),"28/01/2026 08:11:25")</f>
        <v>28/01/2026 08:11:25</v>
      </c>
      <c r="K79" s="3" t="str">
        <f>IFERROR(__xludf.dummyfunction("""COMPUTED_VALUE"""),"ANNA LIZ COSTA DA SILVA MOURA")</f>
        <v>ANNA LIZ COSTA DA SILVA MOURA</v>
      </c>
      <c r="L79" s="146" t="str">
        <f>IFERROR(__xludf.dummyfunction("""COMPUTED_VALUE"""),"170.372.894-77")</f>
        <v>170.372.894-77</v>
      </c>
      <c r="M79" s="146" t="str">
        <f>IFERROR(__xludf.dummyfunction("""COMPUTED_VALUE"""),"20/04/2024")</f>
        <v>20/04/2024</v>
      </c>
      <c r="N79" s="3"/>
      <c r="O79" s="3" t="str">
        <f>IFERROR(__xludf.dummyfunction("""COMPUTED_VALUE"""),"0")</f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15.75" hidden="1" customHeight="1" spans="1:29">
      <c r="A80" s="3"/>
      <c r="B80" s="3" t="str">
        <f t="array" ref="B80">_xlfn.XLOOKUP(D80,Tabela_Dados_Esc_JAB_2026[INEP],Tabela_Dados_Esc_JAB_2026[REGIONAL],"NE",0)</f>
        <v>REGIONAL 5</v>
      </c>
      <c r="C80" s="4" t="str">
        <f>IFERROR(__xludf.dummyfunction("""COMPUTED_VALUE"""),"CEMEI PROFESSORA LINDOMAR DOMINGOS DA SILVA ANJOS")</f>
        <v>CEMEI PROFESSORA LINDOMAR DOMINGOS DA SILVA ANJOS</v>
      </c>
      <c r="D80" s="3" t="str">
        <f>IFERROR(__xludf.dummyfunction("""COMPUTED_VALUE"""),"26191296")</f>
        <v>26191296</v>
      </c>
      <c r="E80" s="3" t="str">
        <f>IFERROR(__xludf.dummyfunction("""COMPUTED_VALUE"""),"INFANTIL 1")</f>
        <v>INFANTIL 1</v>
      </c>
      <c r="F80" s="3" t="str">
        <f>IFERROR(__xludf.dummyfunction("""COMPUTED_VALUE"""),"Integral")</f>
        <v>Integral</v>
      </c>
      <c r="G80" s="3" t="str">
        <f>IFERROR(__xludf.dummyfunction("""COMPUTED_VALUE"""),"Comum")</f>
        <v>Comum</v>
      </c>
      <c r="H80" s="3" t="str">
        <f>IFERROR(__xludf.dummyfunction("""COMPUTED_VALUE"""),"3")</f>
        <v>3</v>
      </c>
      <c r="I80" s="147" t="str">
        <f>IFERROR(__xludf.dummyfunction("""COMPUTED_VALUE"""),"26012045456")</f>
        <v>26012045456</v>
      </c>
      <c r="J80" s="3" t="str">
        <f>IFERROR(__xludf.dummyfunction("""COMPUTED_VALUE"""),"28/01/2026 08:13:45")</f>
        <v>28/01/2026 08:13:45</v>
      </c>
      <c r="K80" s="3" t="str">
        <f>IFERROR(__xludf.dummyfunction("""COMPUTED_VALUE"""),"GEYSON LUCAS CABRAL DA SILVA")</f>
        <v>GEYSON LUCAS CABRAL DA SILVA</v>
      </c>
      <c r="L80" s="146" t="str">
        <f>IFERROR(__xludf.dummyfunction("""COMPUTED_VALUE"""),"003.545.084-31")</f>
        <v>003.545.084-31</v>
      </c>
      <c r="M80" s="146" t="str">
        <f>IFERROR(__xludf.dummyfunction("""COMPUTED_VALUE"""),"18/07/2024")</f>
        <v>18/07/2024</v>
      </c>
      <c r="N80" s="3"/>
      <c r="O80" s="3" t="str">
        <f>IFERROR(__xludf.dummyfunction("""COMPUTED_VALUE"""),"0")</f>
        <v>0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15.75" hidden="1" customHeight="1" spans="1:29">
      <c r="A81" s="3"/>
      <c r="B81" s="3" t="str">
        <f t="array" ref="B81">_xlfn.XLOOKUP(D81,Tabela_Dados_Esc_JAB_2026[INEP],Tabela_Dados_Esc_JAB_2026[REGIONAL],"NE",0)</f>
        <v>REGIONAL 5</v>
      </c>
      <c r="C81" s="4" t="str">
        <f>IFERROR(__xludf.dummyfunction("""COMPUTED_VALUE"""),"CEMEI PROFESSORA LINDOMAR DOMINGOS DA SILVA ANJOS")</f>
        <v>CEMEI PROFESSORA LINDOMAR DOMINGOS DA SILVA ANJOS</v>
      </c>
      <c r="D81" s="3" t="str">
        <f>IFERROR(__xludf.dummyfunction("""COMPUTED_VALUE"""),"26191296")</f>
        <v>26191296</v>
      </c>
      <c r="E81" s="3" t="str">
        <f>IFERROR(__xludf.dummyfunction("""COMPUTED_VALUE"""),"INFANTIL 1")</f>
        <v>INFANTIL 1</v>
      </c>
      <c r="F81" s="3" t="str">
        <f>IFERROR(__xludf.dummyfunction("""COMPUTED_VALUE"""),"Integral")</f>
        <v>Integral</v>
      </c>
      <c r="G81" s="3" t="str">
        <f>IFERROR(__xludf.dummyfunction("""COMPUTED_VALUE"""),"Comum")</f>
        <v>Comum</v>
      </c>
      <c r="H81" s="3" t="str">
        <f>IFERROR(__xludf.dummyfunction("""COMPUTED_VALUE"""),"4")</f>
        <v>4</v>
      </c>
      <c r="I81" s="147" t="str">
        <f>IFERROR(__xludf.dummyfunction("""COMPUTED_VALUE"""),"26012639313")</f>
        <v>26012639313</v>
      </c>
      <c r="J81" s="3" t="str">
        <f>IFERROR(__xludf.dummyfunction("""COMPUTED_VALUE"""),"28/01/2026 08:25:22")</f>
        <v>28/01/2026 08:25:22</v>
      </c>
      <c r="K81" s="3" t="str">
        <f>IFERROR(__xludf.dummyfunction("""COMPUTED_VALUE"""),"HELENA MAITÊ BARRETO DA SILVA")</f>
        <v>HELENA MAITÊ BARRETO DA SILVA</v>
      </c>
      <c r="L81" s="146" t="str">
        <f>IFERROR(__xludf.dummyfunction("""COMPUTED_VALUE"""),"004.709.854-61")</f>
        <v>004.709.854-61</v>
      </c>
      <c r="M81" s="146" t="str">
        <f>IFERROR(__xludf.dummyfunction("""COMPUTED_VALUE"""),"02/11/2024")</f>
        <v>02/11/2024</v>
      </c>
      <c r="N81" s="3"/>
      <c r="O81" s="3" t="str">
        <f>IFERROR(__xludf.dummyfunction("""COMPUTED_VALUE"""),"0")</f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15.75" hidden="1" customHeight="1" spans="1:29">
      <c r="A82" s="3"/>
      <c r="B82" s="3" t="str">
        <f t="array" ref="B82">_xlfn.XLOOKUP(D82,Tabela_Dados_Esc_JAB_2026[INEP],Tabela_Dados_Esc_JAB_2026[REGIONAL],"NE",0)</f>
        <v>REGIONAL 5</v>
      </c>
      <c r="C82" s="4" t="str">
        <f>IFERROR(__xludf.dummyfunction("""COMPUTED_VALUE"""),"CEMEI PROFESSORA LINDOMAR DOMINGOS DA SILVA ANJOS")</f>
        <v>CEMEI PROFESSORA LINDOMAR DOMINGOS DA SILVA ANJOS</v>
      </c>
      <c r="D82" s="3" t="str">
        <f>IFERROR(__xludf.dummyfunction("""COMPUTED_VALUE"""),"26191296")</f>
        <v>26191296</v>
      </c>
      <c r="E82" s="3" t="str">
        <f>IFERROR(__xludf.dummyfunction("""COMPUTED_VALUE"""),"INFANTIL 1")</f>
        <v>INFANTIL 1</v>
      </c>
      <c r="F82" s="3" t="str">
        <f>IFERROR(__xludf.dummyfunction("""COMPUTED_VALUE"""),"Integral")</f>
        <v>Integral</v>
      </c>
      <c r="G82" s="3" t="str">
        <f>IFERROR(__xludf.dummyfunction("""COMPUTED_VALUE"""),"Comum")</f>
        <v>Comum</v>
      </c>
      <c r="H82" s="3" t="str">
        <f>IFERROR(__xludf.dummyfunction("""COMPUTED_VALUE"""),"5")</f>
        <v>5</v>
      </c>
      <c r="I82" s="147" t="str">
        <f>IFERROR(__xludf.dummyfunction("""COMPUTED_VALUE"""),"26012366685")</f>
        <v>26012366685</v>
      </c>
      <c r="J82" s="3" t="str">
        <f>IFERROR(__xludf.dummyfunction("""COMPUTED_VALUE"""),"28/01/2026 09:18:21")</f>
        <v>28/01/2026 09:18:21</v>
      </c>
      <c r="K82" s="3" t="str">
        <f>IFERROR(__xludf.dummyfunction("""COMPUTED_VALUE"""),"HELOISA FERREIRA MIRANDA DA SILVA")</f>
        <v>HELOISA FERREIRA MIRANDA DA SILVA</v>
      </c>
      <c r="L82" s="146" t="str">
        <f>IFERROR(__xludf.dummyfunction("""COMPUTED_VALUE"""),"005.241.694-11")</f>
        <v>005.241.694-11</v>
      </c>
      <c r="M82" s="146" t="str">
        <f>IFERROR(__xludf.dummyfunction("""COMPUTED_VALUE"""),"15/01/2025")</f>
        <v>15/01/2025</v>
      </c>
      <c r="N82" s="3"/>
      <c r="O82" s="3" t="str">
        <f>IFERROR(__xludf.dummyfunction("""COMPUTED_VALUE"""),"0")</f>
        <v>0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15.75" hidden="1" customHeight="1" spans="1:29">
      <c r="A83" s="3"/>
      <c r="B83" s="3" t="str">
        <f t="array" ref="B83">_xlfn.XLOOKUP(D83,Tabela_Dados_Esc_JAB_2026[INEP],Tabela_Dados_Esc_JAB_2026[REGIONAL],"NE",0)</f>
        <v>REGIONAL 5</v>
      </c>
      <c r="C83" s="4" t="str">
        <f>IFERROR(__xludf.dummyfunction("""COMPUTED_VALUE"""),"CEMEI PROFESSORA LINDOMAR DOMINGOS DA SILVA ANJOS")</f>
        <v>CEMEI PROFESSORA LINDOMAR DOMINGOS DA SILVA ANJOS</v>
      </c>
      <c r="D83" s="3" t="str">
        <f>IFERROR(__xludf.dummyfunction("""COMPUTED_VALUE"""),"26191296")</f>
        <v>26191296</v>
      </c>
      <c r="E83" s="3" t="str">
        <f>IFERROR(__xludf.dummyfunction("""COMPUTED_VALUE"""),"INFANTIL 1")</f>
        <v>INFANTIL 1</v>
      </c>
      <c r="F83" s="3" t="str">
        <f>IFERROR(__xludf.dummyfunction("""COMPUTED_VALUE"""),"Integral")</f>
        <v>Integral</v>
      </c>
      <c r="G83" s="3" t="str">
        <f>IFERROR(__xludf.dummyfunction("""COMPUTED_VALUE"""),"Comum")</f>
        <v>Comum</v>
      </c>
      <c r="H83" s="3" t="str">
        <f>IFERROR(__xludf.dummyfunction("""COMPUTED_VALUE"""),"6")</f>
        <v>6</v>
      </c>
      <c r="I83" s="145" t="str">
        <f>IFERROR(__xludf.dummyfunction("""COMPUTED_VALUE"""),"26012430062")</f>
        <v>26012430062</v>
      </c>
      <c r="J83" s="3" t="str">
        <f>IFERROR(__xludf.dummyfunction("""COMPUTED_VALUE"""),"28/01/2026 09:33:11")</f>
        <v>28/01/2026 09:33:11</v>
      </c>
      <c r="K83" s="3" t="str">
        <f>IFERROR(__xludf.dummyfunction("""COMPUTED_VALUE"""),"JASMYNE ELOISE DOS SANTOS")</f>
        <v>JASMYNE ELOISE DOS SANTOS</v>
      </c>
      <c r="L83" s="146" t="str">
        <f>IFERROR(__xludf.dummyfunction("""COMPUTED_VALUE"""),"004.726.704-68")</f>
        <v>004.726.704-68</v>
      </c>
      <c r="M83" s="146" t="str">
        <f>IFERROR(__xludf.dummyfunction("""COMPUTED_VALUE"""),"23/06/2024")</f>
        <v>23/06/2024</v>
      </c>
      <c r="N83" s="3"/>
      <c r="O83" s="3" t="str">
        <f>IFERROR(__xludf.dummyfunction("""COMPUTED_VALUE"""),"0")</f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5.75" hidden="1" customHeight="1" spans="1:29">
      <c r="A84" s="3"/>
      <c r="B84" s="3" t="str">
        <f t="array" ref="B84">_xlfn.XLOOKUP(D84,Tabela_Dados_Esc_JAB_2026[INEP],Tabela_Dados_Esc_JAB_2026[REGIONAL],"NE",0)</f>
        <v>REGIONAL 5</v>
      </c>
      <c r="C84" s="4" t="str">
        <f>IFERROR(__xludf.dummyfunction("""COMPUTED_VALUE"""),"CEMEI PROFESSORA LINDOMAR DOMINGOS DA SILVA ANJOS")</f>
        <v>CEMEI PROFESSORA LINDOMAR DOMINGOS DA SILVA ANJOS</v>
      </c>
      <c r="D84" s="3" t="str">
        <f>IFERROR(__xludf.dummyfunction("""COMPUTED_VALUE"""),"26191296")</f>
        <v>26191296</v>
      </c>
      <c r="E84" s="3" t="str">
        <f>IFERROR(__xludf.dummyfunction("""COMPUTED_VALUE"""),"INFANTIL 1")</f>
        <v>INFANTIL 1</v>
      </c>
      <c r="F84" s="3" t="str">
        <f>IFERROR(__xludf.dummyfunction("""COMPUTED_VALUE"""),"Integral")</f>
        <v>Integral</v>
      </c>
      <c r="G84" s="3" t="str">
        <f>IFERROR(__xludf.dummyfunction("""COMPUTED_VALUE"""),"Comum")</f>
        <v>Comum</v>
      </c>
      <c r="H84" s="3" t="str">
        <f>IFERROR(__xludf.dummyfunction("""COMPUTED_VALUE"""),"7")</f>
        <v>7</v>
      </c>
      <c r="I84" s="145" t="str">
        <f>IFERROR(__xludf.dummyfunction("""COMPUTED_VALUE"""),"26012259894")</f>
        <v>26012259894</v>
      </c>
      <c r="J84" s="3" t="str">
        <f>IFERROR(__xludf.dummyfunction("""COMPUTED_VALUE"""),"28/01/2026 09:38:34")</f>
        <v>28/01/2026 09:38:34</v>
      </c>
      <c r="K84" s="3" t="str">
        <f>IFERROR(__xludf.dummyfunction("""COMPUTED_VALUE"""),"ALEF GABRIEL FERREIRA SALES")</f>
        <v>ALEF GABRIEL FERREIRA SALES</v>
      </c>
      <c r="L84" s="146" t="str">
        <f>IFERROR(__xludf.dummyfunction("""COMPUTED_VALUE"""),"003.127.374-24")</f>
        <v>003.127.374-24</v>
      </c>
      <c r="M84" s="146" t="str">
        <f>IFERROR(__xludf.dummyfunction("""COMPUTED_VALUE"""),"31/05/2024")</f>
        <v>31/05/2024</v>
      </c>
      <c r="N84" s="3"/>
      <c r="O84" s="3" t="str">
        <f>IFERROR(__xludf.dummyfunction("""COMPUTED_VALUE"""),"0")</f>
        <v>0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15.75" hidden="1" customHeight="1" spans="1:29">
      <c r="A85" s="3"/>
      <c r="B85" s="3" t="str">
        <f t="array" ref="B85">_xlfn.XLOOKUP(D85,Tabela_Dados_Esc_JAB_2026[INEP],Tabela_Dados_Esc_JAB_2026[REGIONAL],"NE",0)</f>
        <v>REGIONAL 5</v>
      </c>
      <c r="C85" s="4" t="str">
        <f>IFERROR(__xludf.dummyfunction("""COMPUTED_VALUE"""),"CEMEI PROFESSORA LINDOMAR DOMINGOS DA SILVA ANJOS")</f>
        <v>CEMEI PROFESSORA LINDOMAR DOMINGOS DA SILVA ANJOS</v>
      </c>
      <c r="D85" s="3" t="str">
        <f>IFERROR(__xludf.dummyfunction("""COMPUTED_VALUE"""),"26191296")</f>
        <v>26191296</v>
      </c>
      <c r="E85" s="3" t="str">
        <f>IFERROR(__xludf.dummyfunction("""COMPUTED_VALUE"""),"INFANTIL 1")</f>
        <v>INFANTIL 1</v>
      </c>
      <c r="F85" s="3" t="str">
        <f>IFERROR(__xludf.dummyfunction("""COMPUTED_VALUE"""),"Integral")</f>
        <v>Integral</v>
      </c>
      <c r="G85" s="3" t="str">
        <f>IFERROR(__xludf.dummyfunction("""COMPUTED_VALUE"""),"Comum")</f>
        <v>Comum</v>
      </c>
      <c r="H85" s="3" t="str">
        <f>IFERROR(__xludf.dummyfunction("""COMPUTED_VALUE"""),"8")</f>
        <v>8</v>
      </c>
      <c r="I85" s="145" t="str">
        <f>IFERROR(__xludf.dummyfunction("""COMPUTED_VALUE"""),"26012275379")</f>
        <v>26012275379</v>
      </c>
      <c r="J85" s="3" t="str">
        <f>IFERROR(__xludf.dummyfunction("""COMPUTED_VALUE"""),"28/01/2026 10:45:36")</f>
        <v>28/01/2026 10:45:36</v>
      </c>
      <c r="K85" s="3" t="str">
        <f>IFERROR(__xludf.dummyfunction("""COMPUTED_VALUE"""),"THEO MENDES DA SILVA")</f>
        <v>THEO MENDES DA SILVA</v>
      </c>
      <c r="L85" s="146" t="str">
        <f>IFERROR(__xludf.dummyfunction("""COMPUTED_VALUE"""),"004.687.804-16")</f>
        <v>004.687.804-16</v>
      </c>
      <c r="M85" s="146" t="str">
        <f>IFERROR(__xludf.dummyfunction("""COMPUTED_VALUE"""),"25/11/2024")</f>
        <v>25/11/2024</v>
      </c>
      <c r="N85" s="3"/>
      <c r="O85" s="3" t="str">
        <f>IFERROR(__xludf.dummyfunction("""COMPUTED_VALUE"""),"0")</f>
        <v>0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15.75" hidden="1" customHeight="1" spans="1:29">
      <c r="A86" s="3"/>
      <c r="B86" s="3" t="str">
        <f t="array" ref="B86">_xlfn.XLOOKUP(D86,Tabela_Dados_Esc_JAB_2026[INEP],Tabela_Dados_Esc_JAB_2026[REGIONAL],"NE",0)</f>
        <v>REGIONAL 5</v>
      </c>
      <c r="C86" s="4" t="str">
        <f>IFERROR(__xludf.dummyfunction("""COMPUTED_VALUE"""),"CEMEI PROFESSORA LINDOMAR DOMINGOS DA SILVA ANJOS")</f>
        <v>CEMEI PROFESSORA LINDOMAR DOMINGOS DA SILVA ANJOS</v>
      </c>
      <c r="D86" s="3" t="str">
        <f>IFERROR(__xludf.dummyfunction("""COMPUTED_VALUE"""),"26191296")</f>
        <v>26191296</v>
      </c>
      <c r="E86" s="3" t="str">
        <f>IFERROR(__xludf.dummyfunction("""COMPUTED_VALUE"""),"INFANTIL 1")</f>
        <v>INFANTIL 1</v>
      </c>
      <c r="F86" s="3" t="str">
        <f>IFERROR(__xludf.dummyfunction("""COMPUTED_VALUE"""),"Integral")</f>
        <v>Integral</v>
      </c>
      <c r="G86" s="3" t="str">
        <f>IFERROR(__xludf.dummyfunction("""COMPUTED_VALUE"""),"Comum")</f>
        <v>Comum</v>
      </c>
      <c r="H86" s="3" t="str">
        <f>IFERROR(__xludf.dummyfunction("""COMPUTED_VALUE"""),"9")</f>
        <v>9</v>
      </c>
      <c r="I86" s="145" t="str">
        <f>IFERROR(__xludf.dummyfunction("""COMPUTED_VALUE"""),"26012592427")</f>
        <v>26012592427</v>
      </c>
      <c r="J86" s="3" t="str">
        <f>IFERROR(__xludf.dummyfunction("""COMPUTED_VALUE"""),"28/01/2026 12:49:55")</f>
        <v>28/01/2026 12:49:55</v>
      </c>
      <c r="K86" s="3" t="str">
        <f>IFERROR(__xludf.dummyfunction("""COMPUTED_VALUE"""),"KAYLLANY CECÍLIA FEITOZA SANTOS DA SILVA")</f>
        <v>KAYLLANY CECÍLIA FEITOZA SANTOS DA SILVA</v>
      </c>
      <c r="L86" s="146" t="str">
        <f>IFERROR(__xludf.dummyfunction("""COMPUTED_VALUE"""),"004.046.764-30")</f>
        <v>004.046.764-30</v>
      </c>
      <c r="M86" s="146" t="str">
        <f>IFERROR(__xludf.dummyfunction("""COMPUTED_VALUE"""),"10/09/2024")</f>
        <v>10/09/2024</v>
      </c>
      <c r="N86" s="3"/>
      <c r="O86" s="3" t="str">
        <f>IFERROR(__xludf.dummyfunction("""COMPUTED_VALUE"""),"0")</f>
        <v>0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15.75" hidden="1" customHeight="1" spans="1:29">
      <c r="A87" s="3"/>
      <c r="B87" s="3" t="str">
        <f t="array" ref="B87">_xlfn.XLOOKUP(D87,Tabela_Dados_Esc_JAB_2026[INEP],Tabela_Dados_Esc_JAB_2026[REGIONAL],"NE",0)</f>
        <v>REGIONAL 5</v>
      </c>
      <c r="C87" s="4" t="str">
        <f>IFERROR(__xludf.dummyfunction("""COMPUTED_VALUE"""),"CEMEI PROFESSORA LINDOMAR DOMINGOS DA SILVA ANJOS")</f>
        <v>CEMEI PROFESSORA LINDOMAR DOMINGOS DA SILVA ANJOS</v>
      </c>
      <c r="D87" s="3" t="str">
        <f>IFERROR(__xludf.dummyfunction("""COMPUTED_VALUE"""),"26191296")</f>
        <v>26191296</v>
      </c>
      <c r="E87" s="3" t="str">
        <f>IFERROR(__xludf.dummyfunction("""COMPUTED_VALUE"""),"INFANTIL 1")</f>
        <v>INFANTIL 1</v>
      </c>
      <c r="F87" s="3" t="str">
        <f>IFERROR(__xludf.dummyfunction("""COMPUTED_VALUE"""),"Integral")</f>
        <v>Integral</v>
      </c>
      <c r="G87" s="3" t="str">
        <f>IFERROR(__xludf.dummyfunction("""COMPUTED_VALUE"""),"Comum")</f>
        <v>Comum</v>
      </c>
      <c r="H87" s="3" t="str">
        <f>IFERROR(__xludf.dummyfunction("""COMPUTED_VALUE"""),"10")</f>
        <v>10</v>
      </c>
      <c r="I87" s="145" t="str">
        <f>IFERROR(__xludf.dummyfunction("""COMPUTED_VALUE"""),"26012985200")</f>
        <v>26012985200</v>
      </c>
      <c r="J87" s="3" t="str">
        <f>IFERROR(__xludf.dummyfunction("""COMPUTED_VALUE"""),"28/01/2026 20:34:21")</f>
        <v>28/01/2026 20:34:21</v>
      </c>
      <c r="K87" s="3" t="str">
        <f>IFERROR(__xludf.dummyfunction("""COMPUTED_VALUE"""),"LUNNA HÊLOA PINHEIRO DOS SANTOS")</f>
        <v>LUNNA HÊLOA PINHEIRO DOS SANTOS</v>
      </c>
      <c r="L87" s="146" t="str">
        <f>IFERROR(__xludf.dummyfunction("""COMPUTED_VALUE"""),"002.535.554-69")</f>
        <v>002.535.554-69</v>
      </c>
      <c r="M87" s="146" t="str">
        <f>IFERROR(__xludf.dummyfunction("""COMPUTED_VALUE"""),"01/04/2024")</f>
        <v>01/04/2024</v>
      </c>
      <c r="N87" s="3"/>
      <c r="O87" s="3" t="str">
        <f>IFERROR(__xludf.dummyfunction("""COMPUTED_VALUE"""),"0")</f>
        <v>0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15.75" hidden="1" customHeight="1" spans="1:29">
      <c r="A88" s="3"/>
      <c r="B88" s="3" t="str">
        <f t="array" ref="B88">_xlfn.XLOOKUP(D88,Tabela_Dados_Esc_JAB_2026[INEP],Tabela_Dados_Esc_JAB_2026[REGIONAL],"NE",0)</f>
        <v>REGIONAL 5</v>
      </c>
      <c r="C88" s="4" t="str">
        <f>IFERROR(__xludf.dummyfunction("""COMPUTED_VALUE"""),"CEMEI PROFESSORA LINDOMAR DOMINGOS DA SILVA ANJOS")</f>
        <v>CEMEI PROFESSORA LINDOMAR DOMINGOS DA SILVA ANJOS</v>
      </c>
      <c r="D88" s="3" t="str">
        <f>IFERROR(__xludf.dummyfunction("""COMPUTED_VALUE"""),"26191296")</f>
        <v>26191296</v>
      </c>
      <c r="E88" s="3" t="str">
        <f>IFERROR(__xludf.dummyfunction("""COMPUTED_VALUE"""),"INFANTIL 1")</f>
        <v>INFANTIL 1</v>
      </c>
      <c r="F88" s="3" t="str">
        <f>IFERROR(__xludf.dummyfunction("""COMPUTED_VALUE"""),"Integral")</f>
        <v>Integral</v>
      </c>
      <c r="G88" s="3" t="str">
        <f>IFERROR(__xludf.dummyfunction("""COMPUTED_VALUE"""),"Comum")</f>
        <v>Comum</v>
      </c>
      <c r="H88" s="3" t="str">
        <f>IFERROR(__xludf.dummyfunction("""COMPUTED_VALUE"""),"11")</f>
        <v>11</v>
      </c>
      <c r="I88" s="145" t="str">
        <f>IFERROR(__xludf.dummyfunction("""COMPUTED_VALUE"""),"26022123883")</f>
        <v>26022123883</v>
      </c>
      <c r="J88" s="3" t="str">
        <f>IFERROR(__xludf.dummyfunction("""COMPUTED_VALUE"""),"06/02/2026 14:12:06")</f>
        <v>06/02/2026 14:12:06</v>
      </c>
      <c r="K88" s="3" t="str">
        <f>IFERROR(__xludf.dummyfunction("""COMPUTED_VALUE"""),"VIVIANE MARIA DE SANTANA FERREIRA")</f>
        <v>VIVIANE MARIA DE SANTANA FERREIRA</v>
      </c>
      <c r="L88" s="146" t="str">
        <f>IFERROR(__xludf.dummyfunction("""COMPUTED_VALUE"""),"003.219.974-09")</f>
        <v>003.219.974-09</v>
      </c>
      <c r="M88" s="146" t="str">
        <f>IFERROR(__xludf.dummyfunction("""COMPUTED_VALUE"""),"16/04/2024")</f>
        <v>16/04/2024</v>
      </c>
      <c r="N88" s="3"/>
      <c r="O88" s="3" t="str">
        <f>IFERROR(__xludf.dummyfunction("""COMPUTED_VALUE"""),"0")</f>
        <v>0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15.75" hidden="1" customHeight="1" spans="1:29">
      <c r="A89" s="3"/>
      <c r="B89" s="3" t="str">
        <f t="array" ref="B89">_xlfn.XLOOKUP(D89,Tabela_Dados_Esc_JAB_2026[INEP],Tabela_Dados_Esc_JAB_2026[REGIONAL],"NE",0)</f>
        <v>REGIONAL 5</v>
      </c>
      <c r="C89" s="4" t="str">
        <f>IFERROR(__xludf.dummyfunction("""COMPUTED_VALUE"""),"CEMEI PROFESSORA LINDOMAR DOMINGOS DA SILVA ANJOS")</f>
        <v>CEMEI PROFESSORA LINDOMAR DOMINGOS DA SILVA ANJOS</v>
      </c>
      <c r="D89" s="3" t="str">
        <f>IFERROR(__xludf.dummyfunction("""COMPUTED_VALUE"""),"26191296")</f>
        <v>26191296</v>
      </c>
      <c r="E89" s="3" t="str">
        <f>IFERROR(__xludf.dummyfunction("""COMPUTED_VALUE"""),"INFANTIL 1")</f>
        <v>INFANTIL 1</v>
      </c>
      <c r="F89" s="3" t="str">
        <f>IFERROR(__xludf.dummyfunction("""COMPUTED_VALUE"""),"Integral")</f>
        <v>Integral</v>
      </c>
      <c r="G89" s="3" t="str">
        <f>IFERROR(__xludf.dummyfunction("""COMPUTED_VALUE"""),"Comum")</f>
        <v>Comum</v>
      </c>
      <c r="H89" s="3" t="str">
        <f>IFERROR(__xludf.dummyfunction("""COMPUTED_VALUE"""),"12")</f>
        <v>12</v>
      </c>
      <c r="I89" s="145" t="str">
        <f>IFERROR(__xludf.dummyfunction("""COMPUTED_VALUE"""),"26022140859")</f>
        <v>26022140859</v>
      </c>
      <c r="J89" s="3" t="str">
        <f>IFERROR(__xludf.dummyfunction("""COMPUTED_VALUE"""),"11/02/2026 09:26:12")</f>
        <v>11/02/2026 09:26:12</v>
      </c>
      <c r="K89" s="3" t="str">
        <f>IFERROR(__xludf.dummyfunction("""COMPUTED_VALUE"""),"KAUANY ISABELLE DA SILVA SANTOS")</f>
        <v>KAUANY ISABELLE DA SILVA SANTOS</v>
      </c>
      <c r="L89" s="146" t="str">
        <f>IFERROR(__xludf.dummyfunction("""COMPUTED_VALUE"""),"004.058.404-62")</f>
        <v>004.058.404-62</v>
      </c>
      <c r="M89" s="146" t="str">
        <f>IFERROR(__xludf.dummyfunction("""COMPUTED_VALUE"""),"13/09/2024")</f>
        <v>13/09/2024</v>
      </c>
      <c r="N89" s="3"/>
      <c r="O89" s="3" t="str">
        <f>IFERROR(__xludf.dummyfunction("""COMPUTED_VALUE"""),"0")</f>
        <v>0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15.75" hidden="1" customHeight="1" spans="1:29">
      <c r="A90" s="3"/>
      <c r="B90" s="3" t="str">
        <f t="array" ref="B90">_xlfn.XLOOKUP(D90,Tabela_Dados_Esc_JAB_2026[INEP],Tabela_Dados_Esc_JAB_2026[REGIONAL],"NE",0)</f>
        <v>REGIONAL 5</v>
      </c>
      <c r="C90" s="4" t="str">
        <f>IFERROR(__xludf.dummyfunction("""COMPUTED_VALUE"""),"CEMEI PROFESSORA LINDOMAR DOMINGOS DA SILVA ANJOS")</f>
        <v>CEMEI PROFESSORA LINDOMAR DOMINGOS DA SILVA ANJOS</v>
      </c>
      <c r="D90" s="3" t="str">
        <f>IFERROR(__xludf.dummyfunction("""COMPUTED_VALUE"""),"26191296")</f>
        <v>26191296</v>
      </c>
      <c r="E90" s="3" t="str">
        <f>IFERROR(__xludf.dummyfunction("""COMPUTED_VALUE"""),"INFANTIL 1")</f>
        <v>INFANTIL 1</v>
      </c>
      <c r="F90" s="3" t="str">
        <f>IFERROR(__xludf.dummyfunction("""COMPUTED_VALUE"""),"Integral")</f>
        <v>Integral</v>
      </c>
      <c r="G90" s="3" t="str">
        <f>IFERROR(__xludf.dummyfunction("""COMPUTED_VALUE"""),"Comum")</f>
        <v>Comum</v>
      </c>
      <c r="H90" s="3" t="str">
        <f>IFERROR(__xludf.dummyfunction("""COMPUTED_VALUE"""),"13")</f>
        <v>13</v>
      </c>
      <c r="I90" s="145" t="str">
        <f>IFERROR(__xludf.dummyfunction("""COMPUTED_VALUE"""),"26022959951")</f>
        <v>26022959951</v>
      </c>
      <c r="J90" s="3" t="str">
        <f>IFERROR(__xludf.dummyfunction("""COMPUTED_VALUE"""),"26/02/2026 23:54:06")</f>
        <v>26/02/2026 23:54:06</v>
      </c>
      <c r="K90" s="3" t="str">
        <f>IFERROR(__xludf.dummyfunction("""COMPUTED_VALUE"""),"ARTHUR MIGUEL DOS SANTOS ROCHA")</f>
        <v>ARTHUR MIGUEL DOS SANTOS ROCHA</v>
      </c>
      <c r="L90" s="146" t="str">
        <f>IFERROR(__xludf.dummyfunction("""COMPUTED_VALUE"""),"005.161.924-50")</f>
        <v>005.161.924-50</v>
      </c>
      <c r="M90" s="146" t="str">
        <f>IFERROR(__xludf.dummyfunction("""COMPUTED_VALUE"""),"21/01/2025")</f>
        <v>21/01/2025</v>
      </c>
      <c r="N90" s="3"/>
      <c r="O90" s="3" t="str">
        <f>IFERROR(__xludf.dummyfunction("""COMPUTED_VALUE"""),"0")</f>
        <v>0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5.75" hidden="1" customHeight="1" spans="1:29">
      <c r="A91" s="3"/>
      <c r="B91" s="3" t="str">
        <f t="array" ref="B91">_xlfn.XLOOKUP(D91,Tabela_Dados_Esc_JAB_2026[INEP],Tabela_Dados_Esc_JAB_2026[REGIONAL],"NE",0)</f>
        <v>REGIONAL 5</v>
      </c>
      <c r="C91" s="4" t="str">
        <f>IFERROR(__xludf.dummyfunction("""COMPUTED_VALUE"""),"CEMEI PROFESSORA LINDOMAR DOMINGOS DA SILVA ANJOS")</f>
        <v>CEMEI PROFESSORA LINDOMAR DOMINGOS DA SILVA ANJOS</v>
      </c>
      <c r="D91" s="3" t="str">
        <f>IFERROR(__xludf.dummyfunction("""COMPUTED_VALUE"""),"26191296")</f>
        <v>26191296</v>
      </c>
      <c r="E91" s="3" t="str">
        <f>IFERROR(__xludf.dummyfunction("""COMPUTED_VALUE"""),"INFANTIL 1")</f>
        <v>INFANTIL 1</v>
      </c>
      <c r="F91" s="3" t="str">
        <f>IFERROR(__xludf.dummyfunction("""COMPUTED_VALUE"""),"Integral")</f>
        <v>Integral</v>
      </c>
      <c r="G91" s="3" t="str">
        <f>IFERROR(__xludf.dummyfunction("""COMPUTED_VALUE"""),"Comum")</f>
        <v>Comum</v>
      </c>
      <c r="H91" s="3" t="str">
        <f>IFERROR(__xludf.dummyfunction("""COMPUTED_VALUE"""),"14")</f>
        <v>14</v>
      </c>
      <c r="I91" s="145" t="str">
        <f>IFERROR(__xludf.dummyfunction("""COMPUTED_VALUE"""),"26032017118")</f>
        <v>26032017118</v>
      </c>
      <c r="J91" s="3" t="str">
        <f>IFERROR(__xludf.dummyfunction("""COMPUTED_VALUE"""),"03/03/2026 13:59:55")</f>
        <v>03/03/2026 13:59:55</v>
      </c>
      <c r="K91" s="3" t="str">
        <f>IFERROR(__xludf.dummyfunction("""COMPUTED_VALUE"""),"GAEL ANTÔNIO DEODATO DE MEDEIROS")</f>
        <v>GAEL ANTÔNIO DEODATO DE MEDEIROS</v>
      </c>
      <c r="L91" s="146" t="str">
        <f>IFERROR(__xludf.dummyfunction("""COMPUTED_VALUE"""),"005.879.454-94")</f>
        <v>005.879.454-94</v>
      </c>
      <c r="M91" s="146" t="str">
        <f>IFERROR(__xludf.dummyfunction("""COMPUTED_VALUE"""),"05/04/2025")</f>
        <v>05/04/2025</v>
      </c>
      <c r="N91" s="3"/>
      <c r="O91" s="3" t="str">
        <f>IFERROR(__xludf.dummyfunction("""COMPUTED_VALUE"""),"0")</f>
        <v>0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5.75" hidden="1" customHeight="1" spans="1:29">
      <c r="A92" s="3"/>
      <c r="B92" s="3" t="str">
        <f t="array" ref="B92">_xlfn.XLOOKUP(D92,Tabela_Dados_Esc_JAB_2026[INEP],Tabela_Dados_Esc_JAB_2026[REGIONAL],"NE",0)</f>
        <v>REGIONAL 5</v>
      </c>
      <c r="C92" s="4" t="str">
        <f>IFERROR(__xludf.dummyfunction("""COMPUTED_VALUE"""),"CEMEI PROFESSORA LINDOMAR DOMINGOS DA SILVA ANJOS")</f>
        <v>CEMEI PROFESSORA LINDOMAR DOMINGOS DA SILVA ANJOS</v>
      </c>
      <c r="D92" s="3" t="str">
        <f>IFERROR(__xludf.dummyfunction("""COMPUTED_VALUE"""),"26191296")</f>
        <v>26191296</v>
      </c>
      <c r="E92" s="3" t="str">
        <f>IFERROR(__xludf.dummyfunction("""COMPUTED_VALUE"""),"INFANTIL 1")</f>
        <v>INFANTIL 1</v>
      </c>
      <c r="F92" s="3" t="str">
        <f>IFERROR(__xludf.dummyfunction("""COMPUTED_VALUE"""),"Integral")</f>
        <v>Integral</v>
      </c>
      <c r="G92" s="3" t="str">
        <f>IFERROR(__xludf.dummyfunction("""COMPUTED_VALUE"""),"Comum")</f>
        <v>Comum</v>
      </c>
      <c r="H92" s="3" t="str">
        <f>IFERROR(__xludf.dummyfunction("""COMPUTED_VALUE"""),"15")</f>
        <v>15</v>
      </c>
      <c r="I92" s="145" t="str">
        <f>IFERROR(__xludf.dummyfunction("""COMPUTED_VALUE"""),"26032086833")</f>
        <v>26032086833</v>
      </c>
      <c r="J92" s="3" t="str">
        <f>IFERROR(__xludf.dummyfunction("""COMPUTED_VALUE"""),"04/03/2026 10:32:01")</f>
        <v>04/03/2026 10:32:01</v>
      </c>
      <c r="K92" s="3" t="str">
        <f>IFERROR(__xludf.dummyfunction("""COMPUTED_VALUE"""),"NOAH DANIEL MEDEIROS DA SILVA")</f>
        <v>NOAH DANIEL MEDEIROS DA SILVA</v>
      </c>
      <c r="L92" s="146" t="str">
        <f>IFERROR(__xludf.dummyfunction("""COMPUTED_VALUE"""),"006.309.024-45")</f>
        <v>006.309.024-45</v>
      </c>
      <c r="M92" s="146" t="str">
        <f>IFERROR(__xludf.dummyfunction("""COMPUTED_VALUE"""),"21/05/2025")</f>
        <v>21/05/2025</v>
      </c>
      <c r="N92" s="3"/>
      <c r="O92" s="3" t="str">
        <f>IFERROR(__xludf.dummyfunction("""COMPUTED_VALUE"""),"0")</f>
        <v>0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hidden="1" customHeight="1" spans="1:29">
      <c r="A93" s="3"/>
      <c r="B93" s="3" t="str">
        <f t="array" ref="B93">_xlfn.XLOOKUP(D93,Tabela_Dados_Esc_JAB_2026[INEP],Tabela_Dados_Esc_JAB_2026[REGIONAL],"NE",0)</f>
        <v>REGIONAL 5</v>
      </c>
      <c r="C93" s="4" t="str">
        <f>IFERROR(__xludf.dummyfunction("""COMPUTED_VALUE"""),"CEMEI PROFESSORA LINDOMAR DOMINGOS DA SILVA ANJOS")</f>
        <v>CEMEI PROFESSORA LINDOMAR DOMINGOS DA SILVA ANJOS</v>
      </c>
      <c r="D93" s="3" t="str">
        <f>IFERROR(__xludf.dummyfunction("""COMPUTED_VALUE"""),"26191296")</f>
        <v>26191296</v>
      </c>
      <c r="E93" s="3" t="str">
        <f>IFERROR(__xludf.dummyfunction("""COMPUTED_VALUE"""),"INFANTIL 1")</f>
        <v>INFANTIL 1</v>
      </c>
      <c r="F93" s="3" t="str">
        <f>IFERROR(__xludf.dummyfunction("""COMPUTED_VALUE"""),"Integral")</f>
        <v>Integral</v>
      </c>
      <c r="G93" s="3" t="str">
        <f>IFERROR(__xludf.dummyfunction("""COMPUTED_VALUE"""),"Comum")</f>
        <v>Comum</v>
      </c>
      <c r="H93" s="3" t="str">
        <f>IFERROR(__xludf.dummyfunction("""COMPUTED_VALUE"""),"16")</f>
        <v>16</v>
      </c>
      <c r="I93" s="145" t="str">
        <f>IFERROR(__xludf.dummyfunction("""COMPUTED_VALUE"""),"26032205282")</f>
        <v>26032205282</v>
      </c>
      <c r="J93" s="3" t="str">
        <f>IFERROR(__xludf.dummyfunction("""COMPUTED_VALUE"""),"23/03/2026 12:35:29")</f>
        <v>23/03/2026 12:35:29</v>
      </c>
      <c r="K93" s="3" t="str">
        <f>IFERROR(__xludf.dummyfunction("""COMPUTED_VALUE"""),"RAVI GABRIEL DA ROCHA PRAEIRO")</f>
        <v>RAVI GABRIEL DA ROCHA PRAEIRO</v>
      </c>
      <c r="L93" s="146" t="str">
        <f>IFERROR(__xludf.dummyfunction("""COMPUTED_VALUE"""),"022.291.614-15")</f>
        <v>022.291.614-15</v>
      </c>
      <c r="M93" s="146" t="str">
        <f>IFERROR(__xludf.dummyfunction("""COMPUTED_VALUE"""),"07/11/2025")</f>
        <v>07/11/2025</v>
      </c>
      <c r="N93" s="3"/>
      <c r="O93" s="3" t="str">
        <f>IFERROR(__xludf.dummyfunction("""COMPUTED_VALUE"""),"0")</f>
        <v>0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hidden="1" customHeight="1" spans="1:29">
      <c r="A94" s="3"/>
      <c r="B94" s="3" t="str">
        <f t="array" ref="B94">_xlfn.XLOOKUP(D94,Tabela_Dados_Esc_JAB_2026[INEP],Tabela_Dados_Esc_JAB_2026[REGIONAL],"NE",0)</f>
        <v>REGIONAL 5</v>
      </c>
      <c r="C94" s="4" t="str">
        <f>IFERROR(__xludf.dummyfunction("""COMPUTED_VALUE"""),"CEMEI PROFESSORA LINDOMAR DOMINGOS DA SILVA ANJOS")</f>
        <v>CEMEI PROFESSORA LINDOMAR DOMINGOS DA SILVA ANJOS</v>
      </c>
      <c r="D94" s="3" t="str">
        <f>IFERROR(__xludf.dummyfunction("""COMPUTED_VALUE"""),"26191296")</f>
        <v>26191296</v>
      </c>
      <c r="E94" s="3" t="str">
        <f>IFERROR(__xludf.dummyfunction("""COMPUTED_VALUE"""),"INFANTIL 1")</f>
        <v>INFANTIL 1</v>
      </c>
      <c r="F94" s="3" t="str">
        <f>IFERROR(__xludf.dummyfunction("""COMPUTED_VALUE"""),"Integral")</f>
        <v>Integral</v>
      </c>
      <c r="G94" s="3" t="str">
        <f>IFERROR(__xludf.dummyfunction("""COMPUTED_VALUE"""),"Comum")</f>
        <v>Comum</v>
      </c>
      <c r="H94" s="3" t="str">
        <f>IFERROR(__xludf.dummyfunction("""COMPUTED_VALUE"""),"17")</f>
        <v>17</v>
      </c>
      <c r="I94" s="145" t="str">
        <f>IFERROR(__xludf.dummyfunction("""COMPUTED_VALUE"""),"26032492374")</f>
        <v>26032492374</v>
      </c>
      <c r="J94" s="3" t="str">
        <f>IFERROR(__xludf.dummyfunction("""COMPUTED_VALUE"""),"30/03/2026 09:26:51")</f>
        <v>30/03/2026 09:26:51</v>
      </c>
      <c r="K94" s="3" t="str">
        <f>IFERROR(__xludf.dummyfunction("""COMPUTED_VALUE"""),"FRANCISCO CAVALCANTI MAGALHÃES")</f>
        <v>FRANCISCO CAVALCANTI MAGALHÃES</v>
      </c>
      <c r="L94" s="146" t="str">
        <f>IFERROR(__xludf.dummyfunction("""COMPUTED_VALUE"""),"027.792.694-72")</f>
        <v>027.792.694-72</v>
      </c>
      <c r="M94" s="146" t="str">
        <f>IFERROR(__xludf.dummyfunction("""COMPUTED_VALUE"""),"26/11/2025")</f>
        <v>26/11/2025</v>
      </c>
      <c r="N94" s="3"/>
      <c r="O94" s="3" t="str">
        <f>IFERROR(__xludf.dummyfunction("""COMPUTED_VALUE"""),"0")</f>
        <v>0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hidden="1" customHeight="1" spans="1:29">
      <c r="A95" s="3"/>
      <c r="B95" s="3" t="str">
        <f t="array" ref="B95">_xlfn.XLOOKUP(D95,Tabela_Dados_Esc_JAB_2026[INEP],Tabela_Dados_Esc_JAB_2026[REGIONAL],"NE",0)</f>
        <v>REGIONAL 5</v>
      </c>
      <c r="C95" s="4" t="str">
        <f>IFERROR(__xludf.dummyfunction("""COMPUTED_VALUE"""),"CEMEI PROFESSORA LINDOMAR DOMINGOS DA SILVA ANJOS")</f>
        <v>CEMEI PROFESSORA LINDOMAR DOMINGOS DA SILVA ANJOS</v>
      </c>
      <c r="D95" s="3" t="str">
        <f>IFERROR(__xludf.dummyfunction("""COMPUTED_VALUE"""),"26191296")</f>
        <v>26191296</v>
      </c>
      <c r="E95" s="3" t="str">
        <f>IFERROR(__xludf.dummyfunction("""COMPUTED_VALUE"""),"INFANTIL 1")</f>
        <v>INFANTIL 1</v>
      </c>
      <c r="F95" s="3" t="str">
        <f>IFERROR(__xludf.dummyfunction("""COMPUTED_VALUE"""),"Integral")</f>
        <v>Integral</v>
      </c>
      <c r="G95" s="3" t="str">
        <f>IFERROR(__xludf.dummyfunction("""COMPUTED_VALUE"""),"Comum")</f>
        <v>Comum</v>
      </c>
      <c r="H95" s="3" t="str">
        <f>IFERROR(__xludf.dummyfunction("""COMPUTED_VALUE"""),"18")</f>
        <v>18</v>
      </c>
      <c r="I95" s="145" t="str">
        <f>IFERROR(__xludf.dummyfunction("""COMPUTED_VALUE"""),"26042496733")</f>
        <v>26042496733</v>
      </c>
      <c r="J95" s="3" t="str">
        <f>IFERROR(__xludf.dummyfunction("""COMPUTED_VALUE"""),"01/04/2026 11:07:18")</f>
        <v>01/04/2026 11:07:18</v>
      </c>
      <c r="K95" s="3" t="str">
        <f>IFERROR(__xludf.dummyfunction("""COMPUTED_VALUE"""),"MARIA ISADORA SANTOS SEVERO")</f>
        <v>MARIA ISADORA SANTOS SEVERO</v>
      </c>
      <c r="L95" s="146" t="str">
        <f>IFERROR(__xludf.dummyfunction("""COMPUTED_VALUE"""),"054.059.888-71")</f>
        <v>054.059.888-71</v>
      </c>
      <c r="M95" s="146" t="str">
        <f>IFERROR(__xludf.dummyfunction("""COMPUTED_VALUE"""),"03/09/2024")</f>
        <v>03/09/2024</v>
      </c>
      <c r="N95" s="3"/>
      <c r="O95" s="3" t="str">
        <f>IFERROR(__xludf.dummyfunction("""COMPUTED_VALUE"""),"0")</f>
        <v>0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hidden="1" customHeight="1" spans="1:29">
      <c r="A96" s="3"/>
      <c r="B96" s="3" t="str">
        <f t="array" ref="B96">_xlfn.XLOOKUP(D96,Tabela_Dados_Esc_JAB_2026[INEP],Tabela_Dados_Esc_JAB_2026[REGIONAL],"NE",0)</f>
        <v>REGIONAL 5</v>
      </c>
      <c r="C96" s="4" t="str">
        <f>IFERROR(__xludf.dummyfunction("""COMPUTED_VALUE"""),"CEMEI PROFESSORA LINDOMAR DOMINGOS DA SILVA ANJOS")</f>
        <v>CEMEI PROFESSORA LINDOMAR DOMINGOS DA SILVA ANJOS</v>
      </c>
      <c r="D96" s="3" t="str">
        <f>IFERROR(__xludf.dummyfunction("""COMPUTED_VALUE"""),"26191296")</f>
        <v>26191296</v>
      </c>
      <c r="E96" s="3" t="str">
        <f>IFERROR(__xludf.dummyfunction("""COMPUTED_VALUE"""),"INFANTIL 1")</f>
        <v>INFANTIL 1</v>
      </c>
      <c r="F96" s="3" t="str">
        <f>IFERROR(__xludf.dummyfunction("""COMPUTED_VALUE"""),"Integral")</f>
        <v>Integral</v>
      </c>
      <c r="G96" s="3" t="str">
        <f>IFERROR(__xludf.dummyfunction("""COMPUTED_VALUE"""),"Comum")</f>
        <v>Comum</v>
      </c>
      <c r="H96" s="3" t="str">
        <f>IFERROR(__xludf.dummyfunction("""COMPUTED_VALUE"""),"19")</f>
        <v>19</v>
      </c>
      <c r="I96" s="145" t="str">
        <f>IFERROR(__xludf.dummyfunction("""COMPUTED_VALUE"""),"26042315280")</f>
        <v>26042315280</v>
      </c>
      <c r="J96" s="3" t="str">
        <f>IFERROR(__xludf.dummyfunction("""COMPUTED_VALUE"""),"08/04/2026 16:32:34")</f>
        <v>08/04/2026 16:32:34</v>
      </c>
      <c r="K96" s="3" t="str">
        <f>IFERROR(__xludf.dummyfunction("""COMPUTED_VALUE"""),"MATTEO BERNARDO MONTEIRO ARAÚJO")</f>
        <v>MATTEO BERNARDO MONTEIRO ARAÚJO</v>
      </c>
      <c r="L96" s="146" t="str">
        <f>IFERROR(__xludf.dummyfunction("""COMPUTED_VALUE"""),"005.825.614-85")</f>
        <v>005.825.614-85</v>
      </c>
      <c r="M96" s="146" t="str">
        <f>IFERROR(__xludf.dummyfunction("""COMPUTED_VALUE"""),"01/04/2025")</f>
        <v>01/04/2025</v>
      </c>
      <c r="N96" s="3"/>
      <c r="O96" s="3" t="str">
        <f>IFERROR(__xludf.dummyfunction("""COMPUTED_VALUE"""),"0")</f>
        <v>0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hidden="1" customHeight="1" spans="1:29">
      <c r="A97" s="3"/>
      <c r="B97" s="3" t="str">
        <f t="array" ref="B97">_xlfn.XLOOKUP(D97,Tabela_Dados_Esc_JAB_2026[INEP],Tabela_Dados_Esc_JAB_2026[REGIONAL],"NE",0)</f>
        <v>REGIONAL 5</v>
      </c>
      <c r="C97" s="4" t="str">
        <f>IFERROR(__xludf.dummyfunction("""COMPUTED_VALUE"""),"CEMEI PROFESSORA LINDOMAR DOMINGOS DA SILVA ANJOS")</f>
        <v>CEMEI PROFESSORA LINDOMAR DOMINGOS DA SILVA ANJOS</v>
      </c>
      <c r="D97" s="3" t="str">
        <f>IFERROR(__xludf.dummyfunction("""COMPUTED_VALUE"""),"26191296")</f>
        <v>26191296</v>
      </c>
      <c r="E97" s="3" t="str">
        <f>IFERROR(__xludf.dummyfunction("""COMPUTED_VALUE"""),"INFANTIL 1")</f>
        <v>INFANTIL 1</v>
      </c>
      <c r="F97" s="3" t="str">
        <f>IFERROR(__xludf.dummyfunction("""COMPUTED_VALUE"""),"Integral")</f>
        <v>Integral</v>
      </c>
      <c r="G97" s="3" t="str">
        <f>IFERROR(__xludf.dummyfunction("""COMPUTED_VALUE"""),"Comum")</f>
        <v>Comum</v>
      </c>
      <c r="H97" s="3" t="str">
        <f>IFERROR(__xludf.dummyfunction("""COMPUTED_VALUE"""),"20")</f>
        <v>20</v>
      </c>
      <c r="I97" s="145" t="str">
        <f>IFERROR(__xludf.dummyfunction("""COMPUTED_VALUE"""),"26042811161")</f>
        <v>26042811161</v>
      </c>
      <c r="J97" s="3" t="str">
        <f>IFERROR(__xludf.dummyfunction("""COMPUTED_VALUE"""),"15/04/2026 13:07:53")</f>
        <v>15/04/2026 13:07:53</v>
      </c>
      <c r="K97" s="3" t="str">
        <f>IFERROR(__xludf.dummyfunction("""COMPUTED_VALUE"""),"HADASSA ROSA MACIEL")</f>
        <v>HADASSA ROSA MACIEL</v>
      </c>
      <c r="L97" s="146" t="str">
        <f>IFERROR(__xludf.dummyfunction("""COMPUTED_VALUE"""),"007.185.654-44")</f>
        <v>007.185.654-44</v>
      </c>
      <c r="M97" s="146" t="str">
        <f>IFERROR(__xludf.dummyfunction("""COMPUTED_VALUE"""),"30/08/2025")</f>
        <v>30/08/2025</v>
      </c>
      <c r="N97" s="3"/>
      <c r="O97" s="3" t="str">
        <f>IFERROR(__xludf.dummyfunction("""COMPUTED_VALUE"""),"0")</f>
        <v>0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hidden="1" customHeight="1" spans="1:29">
      <c r="A98" s="3"/>
      <c r="B98" s="3" t="str">
        <f t="array" ref="B98">_xlfn.XLOOKUP(D98,Tabela_Dados_Esc_JAB_2026[INEP],Tabela_Dados_Esc_JAB_2026[REGIONAL],"NE",0)</f>
        <v>REGIONAL 5</v>
      </c>
      <c r="C98" s="4" t="str">
        <f>IFERROR(__xludf.dummyfunction("""COMPUTED_VALUE"""),"CEMEI PROFESSORA LINDOMAR DOMINGOS DA SILVA ANJOS")</f>
        <v>CEMEI PROFESSORA LINDOMAR DOMINGOS DA SILVA ANJOS</v>
      </c>
      <c r="D98" s="3" t="str">
        <f>IFERROR(__xludf.dummyfunction("""COMPUTED_VALUE"""),"26191296")</f>
        <v>26191296</v>
      </c>
      <c r="E98" s="3" t="str">
        <f>IFERROR(__xludf.dummyfunction("""COMPUTED_VALUE"""),"INFANTIL 1")</f>
        <v>INFANTIL 1</v>
      </c>
      <c r="F98" s="3" t="str">
        <f>IFERROR(__xludf.dummyfunction("""COMPUTED_VALUE"""),"Integral")</f>
        <v>Integral</v>
      </c>
      <c r="G98" s="3" t="str">
        <f>IFERROR(__xludf.dummyfunction("""COMPUTED_VALUE"""),"Comum")</f>
        <v>Comum</v>
      </c>
      <c r="H98" s="3" t="str">
        <f>IFERROR(__xludf.dummyfunction("""COMPUTED_VALUE"""),"21")</f>
        <v>21</v>
      </c>
      <c r="I98" s="145" t="str">
        <f>IFERROR(__xludf.dummyfunction("""COMPUTED_VALUE"""),"26052053717")</f>
        <v>26052053717</v>
      </c>
      <c r="J98" s="3" t="str">
        <f>IFERROR(__xludf.dummyfunction("""COMPUTED_VALUE"""),"04/05/2026 10:11:49")</f>
        <v>04/05/2026 10:11:49</v>
      </c>
      <c r="K98" s="3" t="str">
        <f>IFERROR(__xludf.dummyfunction("""COMPUTED_VALUE"""),"MATTEO ALEJANDRO DE ARAÚJO ESCOBAR")</f>
        <v>MATTEO ALEJANDRO DE ARAÚJO ESCOBAR</v>
      </c>
      <c r="L98" s="146" t="str">
        <f>IFERROR(__xludf.dummyfunction("""COMPUTED_VALUE"""),"005.682.884-59")</f>
        <v>005.682.884-59</v>
      </c>
      <c r="M98" s="146" t="str">
        <f>IFERROR(__xludf.dummyfunction("""COMPUTED_VALUE"""),"11/03/2025")</f>
        <v>11/03/2025</v>
      </c>
      <c r="N98" s="3"/>
      <c r="O98" s="3" t="str">
        <f>IFERROR(__xludf.dummyfunction("""COMPUTED_VALUE"""),"0")</f>
        <v>0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hidden="1" customHeight="1" spans="1:29">
      <c r="A99" s="3"/>
      <c r="B99" s="3" t="str">
        <f t="array" ref="B99">_xlfn.XLOOKUP(D99,Tabela_Dados_Esc_JAB_2026[INEP],Tabela_Dados_Esc_JAB_2026[REGIONAL],"NE",0)</f>
        <v>REGIONAL 5</v>
      </c>
      <c r="C99" s="4" t="str">
        <f>IFERROR(__xludf.dummyfunction("""COMPUTED_VALUE"""),"CEMEI PROFESSORA LINDOMAR DOMINGOS DA SILVA ANJOS")</f>
        <v>CEMEI PROFESSORA LINDOMAR DOMINGOS DA SILVA ANJOS</v>
      </c>
      <c r="D99" s="3" t="str">
        <f>IFERROR(__xludf.dummyfunction("""COMPUTED_VALUE"""),"26191296")</f>
        <v>26191296</v>
      </c>
      <c r="E99" s="3" t="str">
        <f>IFERROR(__xludf.dummyfunction("""COMPUTED_VALUE"""),"INFANTIL 1")</f>
        <v>INFANTIL 1</v>
      </c>
      <c r="F99" s="3" t="str">
        <f>IFERROR(__xludf.dummyfunction("""COMPUTED_VALUE"""),"Integral")</f>
        <v>Integral</v>
      </c>
      <c r="G99" s="3" t="str">
        <f>IFERROR(__xludf.dummyfunction("""COMPUTED_VALUE"""),"Comum")</f>
        <v>Comum</v>
      </c>
      <c r="H99" s="3" t="str">
        <f>IFERROR(__xludf.dummyfunction("""COMPUTED_VALUE"""),"22")</f>
        <v>22</v>
      </c>
      <c r="I99" s="145" t="str">
        <f>IFERROR(__xludf.dummyfunction("""COMPUTED_VALUE"""),"26052501651")</f>
        <v>26052501651</v>
      </c>
      <c r="J99" s="3" t="str">
        <f>IFERROR(__xludf.dummyfunction("""COMPUTED_VALUE"""),"15/05/2026 11:54:29")</f>
        <v>15/05/2026 11:54:29</v>
      </c>
      <c r="K99" s="3" t="str">
        <f>IFERROR(__xludf.dummyfunction("""COMPUTED_VALUE"""),"ARTHUR MIGUEL SOUZA DA SILVA")</f>
        <v>ARTHUR MIGUEL SOUZA DA SILVA</v>
      </c>
      <c r="L99" s="146" t="str">
        <f>IFERROR(__xludf.dummyfunction("""COMPUTED_VALUE"""),"004.089.984-58")</f>
        <v>004.089.984-58</v>
      </c>
      <c r="M99" s="146" t="str">
        <f>IFERROR(__xludf.dummyfunction("""COMPUTED_VALUE"""),"10/09/2024")</f>
        <v>10/09/2024</v>
      </c>
      <c r="N99" s="3"/>
      <c r="O99" s="3" t="str">
        <f>IFERROR(__xludf.dummyfunction("""COMPUTED_VALUE"""),"0")</f>
        <v>0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hidden="1" customHeight="1" spans="1:29">
      <c r="A100" s="3"/>
      <c r="B100" s="3" t="str">
        <f t="array" ref="B100">_xlfn.XLOOKUP(D100,Tabela_Dados_Esc_JAB_2026[INEP],Tabela_Dados_Esc_JAB_2026[REGIONAL],"NE",0)</f>
        <v>REGIONAL 5</v>
      </c>
      <c r="C100" s="4" t="str">
        <f>IFERROR(__xludf.dummyfunction("""COMPUTED_VALUE"""),"CEMEI PROFESSORA LINDOMAR DOMINGOS DA SILVA ANJOS")</f>
        <v>CEMEI PROFESSORA LINDOMAR DOMINGOS DA SILVA ANJOS</v>
      </c>
      <c r="D100" s="3" t="str">
        <f>IFERROR(__xludf.dummyfunction("""COMPUTED_VALUE"""),"26191296")</f>
        <v>26191296</v>
      </c>
      <c r="E100" s="3" t="str">
        <f>IFERROR(__xludf.dummyfunction("""COMPUTED_VALUE"""),"INFANTIL 1")</f>
        <v>INFANTIL 1</v>
      </c>
      <c r="F100" s="3" t="str">
        <f>IFERROR(__xludf.dummyfunction("""COMPUTED_VALUE"""),"Integral")</f>
        <v>Integral</v>
      </c>
      <c r="G100" s="3" t="str">
        <f>IFERROR(__xludf.dummyfunction("""COMPUTED_VALUE"""),"Comum")</f>
        <v>Comum</v>
      </c>
      <c r="H100" s="3" t="str">
        <f>IFERROR(__xludf.dummyfunction("""COMPUTED_VALUE"""),"23")</f>
        <v>23</v>
      </c>
      <c r="I100" s="147" t="str">
        <f>IFERROR(__xludf.dummyfunction("""COMPUTED_VALUE"""),"26052658949")</f>
        <v>26052658949</v>
      </c>
      <c r="J100" s="3" t="str">
        <f>IFERROR(__xludf.dummyfunction("""COMPUTED_VALUE"""),"15/05/2026 12:03:27")</f>
        <v>15/05/2026 12:03:27</v>
      </c>
      <c r="K100" s="3" t="str">
        <f>IFERROR(__xludf.dummyfunction("""COMPUTED_VALUE"""),"AYLLA KAROLINE SOUZA DA SILVA")</f>
        <v>AYLLA KAROLINE SOUZA DA SILVA</v>
      </c>
      <c r="L100" s="146" t="str">
        <f>IFERROR(__xludf.dummyfunction("""COMPUTED_VALUE"""),"004.089.794-02")</f>
        <v>004.089.794-02</v>
      </c>
      <c r="M100" s="146" t="str">
        <f>IFERROR(__xludf.dummyfunction("""COMPUTED_VALUE"""),"10/09/2024")</f>
        <v>10/09/2024</v>
      </c>
      <c r="N100" s="3"/>
      <c r="O100" s="3" t="str">
        <f>IFERROR(__xludf.dummyfunction("""COMPUTED_VALUE"""),"0")</f>
        <v>0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hidden="1" customHeight="1" spans="1:29">
      <c r="A101" s="3"/>
      <c r="B101" s="3" t="str">
        <f t="array" ref="B101">_xlfn.XLOOKUP(D101,Tabela_Dados_Esc_JAB_2026[INEP],Tabela_Dados_Esc_JAB_2026[REGIONAL],"NE",0)</f>
        <v>REGIONAL 5</v>
      </c>
      <c r="C101" s="4" t="str">
        <f>IFERROR(__xludf.dummyfunction("""COMPUTED_VALUE"""),"CEMEI PROFESSORA LINDOMAR DOMINGOS DA SILVA ANJOS")</f>
        <v>CEMEI PROFESSORA LINDOMAR DOMINGOS DA SILVA ANJOS</v>
      </c>
      <c r="D101" s="3" t="str">
        <f>IFERROR(__xludf.dummyfunction("""COMPUTED_VALUE"""),"26191296")</f>
        <v>26191296</v>
      </c>
      <c r="E101" s="3" t="str">
        <f>IFERROR(__xludf.dummyfunction("""COMPUTED_VALUE"""),"INFANTIL 1")</f>
        <v>INFANTIL 1</v>
      </c>
      <c r="F101" s="3" t="str">
        <f>IFERROR(__xludf.dummyfunction("""COMPUTED_VALUE"""),"Integral")</f>
        <v>Integral</v>
      </c>
      <c r="G101" s="3" t="str">
        <f>IFERROR(__xludf.dummyfunction("""COMPUTED_VALUE"""),"Comum")</f>
        <v>Comum</v>
      </c>
      <c r="H101" s="3" t="str">
        <f>IFERROR(__xludf.dummyfunction("""COMPUTED_VALUE"""),"24")</f>
        <v>24</v>
      </c>
      <c r="I101" s="147" t="str">
        <f>IFERROR(__xludf.dummyfunction("""COMPUTED_VALUE"""),"26052476145")</f>
        <v>26052476145</v>
      </c>
      <c r="J101" s="3" t="str">
        <f>IFERROR(__xludf.dummyfunction("""COMPUTED_VALUE"""),"30/05/2026 11:24:31")</f>
        <v>30/05/2026 11:24:31</v>
      </c>
      <c r="K101" s="3" t="str">
        <f>IFERROR(__xludf.dummyfunction("""COMPUTED_VALUE"""),"Natanael Ryan Felix de Santana")</f>
        <v>Natanael Ryan Felix de Santana</v>
      </c>
      <c r="L101" s="146" t="str">
        <f>IFERROR(__xludf.dummyfunction("""COMPUTED_VALUE"""),"004.409.374-85")</f>
        <v>004.409.374-85</v>
      </c>
      <c r="M101" s="146" t="str">
        <f>IFERROR(__xludf.dummyfunction("""COMPUTED_VALUE"""),"10/10/2024")</f>
        <v>10/10/2024</v>
      </c>
      <c r="N101" s="3"/>
      <c r="O101" s="3" t="str">
        <f>IFERROR(__xludf.dummyfunction("""COMPUTED_VALUE"""),"0")</f>
        <v>0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hidden="1" customHeight="1" spans="1:29">
      <c r="A102" s="3"/>
      <c r="B102" s="3" t="str">
        <f t="array" ref="B102">_xlfn.XLOOKUP(D102,Tabela_Dados_Esc_JAB_2026[INEP],Tabela_Dados_Esc_JAB_2026[REGIONAL],"NE",0)</f>
        <v>REGIONAL 5</v>
      </c>
      <c r="C102" s="4" t="str">
        <f>IFERROR(__xludf.dummyfunction("""COMPUTED_VALUE"""),"CEMEI PROFESSORA LINDOMAR DOMINGOS DA SILVA ANJOS")</f>
        <v>CEMEI PROFESSORA LINDOMAR DOMINGOS DA SILVA ANJOS</v>
      </c>
      <c r="D102" s="3" t="str">
        <f>IFERROR(__xludf.dummyfunction("""COMPUTED_VALUE"""),"26191296")</f>
        <v>26191296</v>
      </c>
      <c r="E102" s="3" t="str">
        <f>IFERROR(__xludf.dummyfunction("""COMPUTED_VALUE"""),"INFANTIL 1")</f>
        <v>INFANTIL 1</v>
      </c>
      <c r="F102" s="3" t="str">
        <f>IFERROR(__xludf.dummyfunction("""COMPUTED_VALUE"""),"Integral")</f>
        <v>Integral</v>
      </c>
      <c r="G102" s="3" t="str">
        <f>IFERROR(__xludf.dummyfunction("""COMPUTED_VALUE"""),"Comum")</f>
        <v>Comum</v>
      </c>
      <c r="H102" s="3" t="str">
        <f>IFERROR(__xludf.dummyfunction("""COMPUTED_VALUE"""),"25")</f>
        <v>25</v>
      </c>
      <c r="I102" s="147" t="str">
        <f>IFERROR(__xludf.dummyfunction("""COMPUTED_VALUE"""),"26062843175")</f>
        <v>26062843175</v>
      </c>
      <c r="J102" s="3" t="str">
        <f>IFERROR(__xludf.dummyfunction("""COMPUTED_VALUE"""),"01/06/2026 13:25:04")</f>
        <v>01/06/2026 13:25:04</v>
      </c>
      <c r="K102" s="3" t="str">
        <f>IFERROR(__xludf.dummyfunction("""COMPUTED_VALUE"""),"Ana liz Ferreira luz")</f>
        <v>Ana liz Ferreira luz</v>
      </c>
      <c r="L102" s="146" t="str">
        <f>IFERROR(__xludf.dummyfunction("""COMPUTED_VALUE"""),"004.029.294-03")</f>
        <v>004.029.294-03</v>
      </c>
      <c r="M102" s="146" t="str">
        <f>IFERROR(__xludf.dummyfunction("""COMPUTED_VALUE"""),"02/09/2024")</f>
        <v>02/09/2024</v>
      </c>
      <c r="N102" s="3"/>
      <c r="O102" s="3" t="str">
        <f>IFERROR(__xludf.dummyfunction("""COMPUTED_VALUE"""),"0")</f>
        <v>0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hidden="1" customHeight="1" spans="1:29">
      <c r="A103" s="3"/>
      <c r="B103" s="3" t="str">
        <f t="array" ref="B103">_xlfn.XLOOKUP(D103,Tabela_Dados_Esc_JAB_2026[INEP],Tabela_Dados_Esc_JAB_2026[REGIONAL],"NE",0)</f>
        <v>REGIONAL 5</v>
      </c>
      <c r="C103" s="4" t="str">
        <f>IFERROR(__xludf.dummyfunction("""COMPUTED_VALUE"""),"CEMEI PROFESSORA LINDOMAR DOMINGOS DA SILVA ANJOS")</f>
        <v>CEMEI PROFESSORA LINDOMAR DOMINGOS DA SILVA ANJOS</v>
      </c>
      <c r="D103" s="3" t="str">
        <f>IFERROR(__xludf.dummyfunction("""COMPUTED_VALUE"""),"26191296")</f>
        <v>26191296</v>
      </c>
      <c r="E103" s="3" t="str">
        <f>IFERROR(__xludf.dummyfunction("""COMPUTED_VALUE"""),"INFANTIL 1")</f>
        <v>INFANTIL 1</v>
      </c>
      <c r="F103" s="3" t="str">
        <f>IFERROR(__xludf.dummyfunction("""COMPUTED_VALUE"""),"Integral")</f>
        <v>Integral</v>
      </c>
      <c r="G103" s="3" t="str">
        <f>IFERROR(__xludf.dummyfunction("""COMPUTED_VALUE"""),"Comum")</f>
        <v>Comum</v>
      </c>
      <c r="H103" s="3" t="str">
        <f>IFERROR(__xludf.dummyfunction("""COMPUTED_VALUE"""),"26")</f>
        <v>26</v>
      </c>
      <c r="I103" s="147" t="str">
        <f>IFERROR(__xludf.dummyfunction("""COMPUTED_VALUE"""),"26062063431")</f>
        <v>26062063431</v>
      </c>
      <c r="J103" s="3" t="str">
        <f>IFERROR(__xludf.dummyfunction("""COMPUTED_VALUE"""),"04/06/2026 10:58:04")</f>
        <v>04/06/2026 10:58:04</v>
      </c>
      <c r="K103" s="3" t="str">
        <f>IFERROR(__xludf.dummyfunction("""COMPUTED_VALUE"""),"Théo José Cruz Martins de Santana")</f>
        <v>Théo José Cruz Martins de Santana</v>
      </c>
      <c r="L103" s="146" t="str">
        <f>IFERROR(__xludf.dummyfunction("""COMPUTED_VALUE"""),"002.750.404-29")</f>
        <v>002.750.404-29</v>
      </c>
      <c r="M103" s="146" t="str">
        <f>IFERROR(__xludf.dummyfunction("""COMPUTED_VALUE"""),"28/04/2024")</f>
        <v>28/04/2024</v>
      </c>
      <c r="N103" s="3"/>
      <c r="O103" s="3" t="str">
        <f>IFERROR(__xludf.dummyfunction("""COMPUTED_VALUE"""),"0")</f>
        <v>0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hidden="1" customHeight="1" spans="1:29">
      <c r="A104" s="3"/>
      <c r="B104" s="3" t="str">
        <f t="array" ref="B104">_xlfn.XLOOKUP(D104,Tabela_Dados_Esc_JAB_2026[INEP],Tabela_Dados_Esc_JAB_2026[REGIONAL],"NE",0)</f>
        <v>REGIONAL 5</v>
      </c>
      <c r="C104" s="4" t="str">
        <f>IFERROR(__xludf.dummyfunction("""COMPUTED_VALUE"""),"CEMEI PROFESSORA LINDOMAR DOMINGOS DA SILVA ANJOS")</f>
        <v>CEMEI PROFESSORA LINDOMAR DOMINGOS DA SILVA ANJOS</v>
      </c>
      <c r="D104" s="3" t="str">
        <f>IFERROR(__xludf.dummyfunction("""COMPUTED_VALUE"""),"26191296")</f>
        <v>26191296</v>
      </c>
      <c r="E104" s="3" t="str">
        <f>IFERROR(__xludf.dummyfunction("""COMPUTED_VALUE"""),"INFANTIL 1")</f>
        <v>INFANTIL 1</v>
      </c>
      <c r="F104" s="3" t="str">
        <f>IFERROR(__xludf.dummyfunction("""COMPUTED_VALUE"""),"Integral")</f>
        <v>Integral</v>
      </c>
      <c r="G104" s="3" t="str">
        <f>IFERROR(__xludf.dummyfunction("""COMPUTED_VALUE"""),"Comum")</f>
        <v>Comum</v>
      </c>
      <c r="H104" s="3" t="str">
        <f>IFERROR(__xludf.dummyfunction("""COMPUTED_VALUE"""),"27")</f>
        <v>27</v>
      </c>
      <c r="I104" s="147" t="str">
        <f>IFERROR(__xludf.dummyfunction("""COMPUTED_VALUE"""),"26062814450")</f>
        <v>26062814450</v>
      </c>
      <c r="J104" s="3" t="str">
        <f>IFERROR(__xludf.dummyfunction("""COMPUTED_VALUE"""),"10/06/2026 09:48:38")</f>
        <v>10/06/2026 09:48:38</v>
      </c>
      <c r="K104" s="3" t="str">
        <f>IFERROR(__xludf.dummyfunction("""COMPUTED_VALUE"""),"Théo Gabriel Vicente Da Silva")</f>
        <v>Théo Gabriel Vicente Da Silva</v>
      </c>
      <c r="L104" s="146" t="str">
        <f>IFERROR(__xludf.dummyfunction("""COMPUTED_VALUE"""),"005.155.414-35")</f>
        <v>005.155.414-35</v>
      </c>
      <c r="M104" s="146" t="str">
        <f>IFERROR(__xludf.dummyfunction("""COMPUTED_VALUE"""),"22/01/2025")</f>
        <v>22/01/2025</v>
      </c>
      <c r="N104" s="3"/>
      <c r="O104" s="3" t="str">
        <f>IFERROR(__xludf.dummyfunction("""COMPUTED_VALUE"""),"0")</f>
        <v>0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hidden="1" customHeight="1" spans="1:29">
      <c r="A105" s="3"/>
      <c r="B105" s="3" t="str">
        <f t="array" ref="B105">_xlfn.XLOOKUP(D105,Tabela_Dados_Esc_JAB_2026[INEP],Tabela_Dados_Esc_JAB_2026[REGIONAL],"NE",0)</f>
        <v>REGIONAL 5</v>
      </c>
      <c r="C105" s="4" t="str">
        <f>IFERROR(__xludf.dummyfunction("""COMPUTED_VALUE"""),"CEMEI PROFESSORA LINDOMAR DOMINGOS DA SILVA ANJOS")</f>
        <v>CEMEI PROFESSORA LINDOMAR DOMINGOS DA SILVA ANJOS</v>
      </c>
      <c r="D105" s="3" t="str">
        <f>IFERROR(__xludf.dummyfunction("""COMPUTED_VALUE"""),"26191296")</f>
        <v>26191296</v>
      </c>
      <c r="E105" s="3" t="str">
        <f>IFERROR(__xludf.dummyfunction("""COMPUTED_VALUE"""),"INFANTIL 1")</f>
        <v>INFANTIL 1</v>
      </c>
      <c r="F105" s="3" t="str">
        <f>IFERROR(__xludf.dummyfunction("""COMPUTED_VALUE"""),"Integral")</f>
        <v>Integral</v>
      </c>
      <c r="G105" s="3" t="str">
        <f>IFERROR(__xludf.dummyfunction("""COMPUTED_VALUE"""),"Comum")</f>
        <v>Comum</v>
      </c>
      <c r="H105" s="3" t="str">
        <f>IFERROR(__xludf.dummyfunction("""COMPUTED_VALUE"""),"28")</f>
        <v>28</v>
      </c>
      <c r="I105" s="147" t="str">
        <f>IFERROR(__xludf.dummyfunction("""COMPUTED_VALUE"""),"26072968943")</f>
        <v>26072968943</v>
      </c>
      <c r="J105" s="3" t="str">
        <f>IFERROR(__xludf.dummyfunction("""COMPUTED_VALUE"""),"22/07/2026 11:43:16")</f>
        <v>22/07/2026 11:43:16</v>
      </c>
      <c r="K105" s="3" t="str">
        <f>IFERROR(__xludf.dummyfunction("""COMPUTED_VALUE"""),"Amélie Lauren Lima Da Silva")</f>
        <v>Amélie Lauren Lima Da Silva</v>
      </c>
      <c r="L105" s="146" t="str">
        <f>IFERROR(__xludf.dummyfunction("""COMPUTED_VALUE"""),"004.430.274-63")</f>
        <v>004.430.274-63</v>
      </c>
      <c r="M105" s="146" t="str">
        <f>IFERROR(__xludf.dummyfunction("""COMPUTED_VALUE"""),"24/10/2024")</f>
        <v>24/10/2024</v>
      </c>
      <c r="N105" s="3"/>
      <c r="O105" s="3" t="str">
        <f>IFERROR(__xludf.dummyfunction("""COMPUTED_VALUE"""),"0")</f>
        <v>0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hidden="1" customHeight="1" spans="1:29">
      <c r="A106" s="3"/>
      <c r="B106" s="3" t="str">
        <f t="array" ref="B106">_xlfn.XLOOKUP(D106,Tabela_Dados_Esc_JAB_2026[INEP],Tabela_Dados_Esc_JAB_2026[REGIONAL],"NE",0)</f>
        <v>REGIONAL 5</v>
      </c>
      <c r="C106" s="4" t="str">
        <f>IFERROR(__xludf.dummyfunction("""COMPUTED_VALUE"""),"CEMEI PROFESSORA LINDOMAR DOMINGOS DA SILVA ANJOS")</f>
        <v>CEMEI PROFESSORA LINDOMAR DOMINGOS DA SILVA ANJOS</v>
      </c>
      <c r="D106" s="3" t="str">
        <f>IFERROR(__xludf.dummyfunction("""COMPUTED_VALUE"""),"26191296")</f>
        <v>26191296</v>
      </c>
      <c r="E106" s="3" t="str">
        <f>IFERROR(__xludf.dummyfunction("""COMPUTED_VALUE"""),"INFANTIL 1")</f>
        <v>INFANTIL 1</v>
      </c>
      <c r="F106" s="3" t="str">
        <f>IFERROR(__xludf.dummyfunction("""COMPUTED_VALUE"""),"Integral")</f>
        <v>Integral</v>
      </c>
      <c r="G106" s="3" t="str">
        <f>IFERROR(__xludf.dummyfunction("""COMPUTED_VALUE"""),"Comum")</f>
        <v>Comum</v>
      </c>
      <c r="H106" s="3" t="str">
        <f>IFERROR(__xludf.dummyfunction("""COMPUTED_VALUE"""),"29")</f>
        <v>29</v>
      </c>
      <c r="I106" s="147" t="str">
        <f>IFERROR(__xludf.dummyfunction("""COMPUTED_VALUE"""),"26072092855")</f>
        <v>26072092855</v>
      </c>
      <c r="J106" s="3" t="str">
        <f>IFERROR(__xludf.dummyfunction("""COMPUTED_VALUE"""),"23/07/2026 14:13:37")</f>
        <v>23/07/2026 14:13:37</v>
      </c>
      <c r="K106" s="3" t="str">
        <f>IFERROR(__xludf.dummyfunction("""COMPUTED_VALUE"""),"Oliver Bernardo Lima Nunes")</f>
        <v>Oliver Bernardo Lima Nunes</v>
      </c>
      <c r="L106" s="146" t="str">
        <f>IFERROR(__xludf.dummyfunction("""COMPUTED_VALUE"""),"015.350.484-68")</f>
        <v>015.350.484-68</v>
      </c>
      <c r="M106" s="146" t="str">
        <f>IFERROR(__xludf.dummyfunction("""COMPUTED_VALUE"""),"10/10/2025")</f>
        <v>10/10/2025</v>
      </c>
      <c r="N106" s="3"/>
      <c r="O106" s="3" t="str">
        <f>IFERROR(__xludf.dummyfunction("""COMPUTED_VALUE"""),"0")</f>
        <v>0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hidden="1" customHeight="1" spans="1:29">
      <c r="A107" s="3"/>
      <c r="B107" s="3" t="str">
        <f t="array" ref="B107">_xlfn.XLOOKUP(D107,Tabela_Dados_Esc_JAB_2026[INEP],Tabela_Dados_Esc_JAB_2026[REGIONAL],"NE",0)</f>
        <v>REGIONAL 5</v>
      </c>
      <c r="C107" s="4" t="str">
        <f>IFERROR(__xludf.dummyfunction("""COMPUTED_VALUE"""),"CEMEI PROFESSORA LINDOMAR DOMINGOS DA SILVA ANJOS")</f>
        <v>CEMEI PROFESSORA LINDOMAR DOMINGOS DA SILVA ANJOS</v>
      </c>
      <c r="D107" s="3" t="str">
        <f>IFERROR(__xludf.dummyfunction("""COMPUTED_VALUE"""),"26191296")</f>
        <v>26191296</v>
      </c>
      <c r="E107" s="3" t="str">
        <f>IFERROR(__xludf.dummyfunction("""COMPUTED_VALUE"""),"INFANTIL 1")</f>
        <v>INFANTIL 1</v>
      </c>
      <c r="F107" s="3" t="str">
        <f>IFERROR(__xludf.dummyfunction("""COMPUTED_VALUE"""),"Integral")</f>
        <v>Integral</v>
      </c>
      <c r="G107" s="3" t="str">
        <f>IFERROR(__xludf.dummyfunction("""COMPUTED_VALUE"""),"Comum")</f>
        <v>Comum</v>
      </c>
      <c r="H107" s="3" t="str">
        <f>IFERROR(__xludf.dummyfunction("""COMPUTED_VALUE"""),"30")</f>
        <v>30</v>
      </c>
      <c r="I107" s="147" t="str">
        <f>IFERROR(__xludf.dummyfunction("""COMPUTED_VALUE"""),"26082807805")</f>
        <v>26082807805</v>
      </c>
      <c r="J107" s="3" t="str">
        <f>IFERROR(__xludf.dummyfunction("""COMPUTED_VALUE"""),"07/08/2026 11:03:06")</f>
        <v>07/08/2026 11:03:06</v>
      </c>
      <c r="K107" s="3" t="str">
        <f>IFERROR(__xludf.dummyfunction("""COMPUTED_VALUE"""),"Aquiles Miranda Lemos")</f>
        <v>Aquiles Miranda Lemos</v>
      </c>
      <c r="L107" s="146" t="str">
        <f>IFERROR(__xludf.dummyfunction("""COMPUTED_VALUE"""),"007.305.494-10")</f>
        <v>007.305.494-10</v>
      </c>
      <c r="M107" s="146" t="str">
        <f>IFERROR(__xludf.dummyfunction("""COMPUTED_VALUE"""),"10/09/2025")</f>
        <v>10/09/2025</v>
      </c>
      <c r="N107" s="3"/>
      <c r="O107" s="3" t="str">
        <f>IFERROR(__xludf.dummyfunction("""COMPUTED_VALUE"""),"0")</f>
        <v>0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hidden="1" customHeight="1" spans="1:29">
      <c r="A108" s="3"/>
      <c r="B108" s="3" t="str">
        <f t="array" ref="B108">_xlfn.XLOOKUP(D108,Tabela_Dados_Esc_JAB_2026[INEP],Tabela_Dados_Esc_JAB_2026[REGIONAL],"NE",0)</f>
        <v>REGIONAL 5</v>
      </c>
      <c r="C108" s="4" t="str">
        <f>IFERROR(__xludf.dummyfunction("""COMPUTED_VALUE"""),"CEMEI PROFESSORA LINDOMAR DOMINGOS DA SILVA ANJOS")</f>
        <v>CEMEI PROFESSORA LINDOMAR DOMINGOS DA SILVA ANJOS</v>
      </c>
      <c r="D108" s="3" t="str">
        <f>IFERROR(__xludf.dummyfunction("""COMPUTED_VALUE"""),"26191296")</f>
        <v>26191296</v>
      </c>
      <c r="E108" s="3" t="str">
        <f>IFERROR(__xludf.dummyfunction("""COMPUTED_VALUE"""),"INFANTIL 1")</f>
        <v>INFANTIL 1</v>
      </c>
      <c r="F108" s="3" t="str">
        <f>IFERROR(__xludf.dummyfunction("""COMPUTED_VALUE"""),"Integral")</f>
        <v>Integral</v>
      </c>
      <c r="G108" s="3" t="str">
        <f>IFERROR(__xludf.dummyfunction("""COMPUTED_VALUE"""),"Comum")</f>
        <v>Comum</v>
      </c>
      <c r="H108" s="3" t="str">
        <f>IFERROR(__xludf.dummyfunction("""COMPUTED_VALUE"""),"31")</f>
        <v>31</v>
      </c>
      <c r="I108" s="147" t="str">
        <f>IFERROR(__xludf.dummyfunction("""COMPUTED_VALUE"""),"26082217737")</f>
        <v>26082217737</v>
      </c>
      <c r="J108" s="3" t="str">
        <f>IFERROR(__xludf.dummyfunction("""COMPUTED_VALUE"""),"26/08/2026 12:19:22")</f>
        <v>26/08/2026 12:19:22</v>
      </c>
      <c r="K108" s="3" t="str">
        <f>IFERROR(__xludf.dummyfunction("""COMPUTED_VALUE"""),"Kyara Maria Costa da Silva")</f>
        <v>Kyara Maria Costa da Silva</v>
      </c>
      <c r="L108" s="146" t="str">
        <f>IFERROR(__xludf.dummyfunction("""COMPUTED_VALUE"""),"071.972.110-50")</f>
        <v>071.972.110-50</v>
      </c>
      <c r="M108" s="146" t="str">
        <f>IFERROR(__xludf.dummyfunction("""COMPUTED_VALUE"""),"24/02/2025")</f>
        <v>24/02/2025</v>
      </c>
      <c r="N108" s="3"/>
      <c r="O108" s="3" t="str">
        <f>IFERROR(__xludf.dummyfunction("""COMPUTED_VALUE"""),"0")</f>
        <v>0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hidden="1" customHeight="1" spans="1:29">
      <c r="A109" s="3"/>
      <c r="B109" s="3" t="str">
        <f t="array" ref="B109">_xlfn.XLOOKUP(D109,Tabela_Dados_Esc_JAB_2026[INEP],Tabela_Dados_Esc_JAB_2026[REGIONAL],"NE",0)</f>
        <v>REGIONAL 5</v>
      </c>
      <c r="C109" s="4" t="str">
        <f>IFERROR(__xludf.dummyfunction("""COMPUTED_VALUE"""),"CEMEI PROFESSORA LINDOMAR DOMINGOS DA SILVA ANJOS")</f>
        <v>CEMEI PROFESSORA LINDOMAR DOMINGOS DA SILVA ANJOS</v>
      </c>
      <c r="D109" s="3" t="str">
        <f>IFERROR(__xludf.dummyfunction("""COMPUTED_VALUE"""),"26191296")</f>
        <v>26191296</v>
      </c>
      <c r="E109" s="3" t="str">
        <f>IFERROR(__xludf.dummyfunction("""COMPUTED_VALUE"""),"INFANTIL 1")</f>
        <v>INFANTIL 1</v>
      </c>
      <c r="F109" s="3" t="str">
        <f>IFERROR(__xludf.dummyfunction("""COMPUTED_VALUE"""),"Integral")</f>
        <v>Integral</v>
      </c>
      <c r="G109" s="3" t="str">
        <f>IFERROR(__xludf.dummyfunction("""COMPUTED_VALUE"""),"Comum")</f>
        <v>Comum</v>
      </c>
      <c r="H109" s="3" t="str">
        <f>IFERROR(__xludf.dummyfunction("""COMPUTED_VALUE"""),"32")</f>
        <v>32</v>
      </c>
      <c r="I109" s="147" t="str">
        <f>IFERROR(__xludf.dummyfunction("""COMPUTED_VALUE"""),"26092842222")</f>
        <v>26092842222</v>
      </c>
      <c r="J109" s="3" t="str">
        <f>IFERROR(__xludf.dummyfunction("""COMPUTED_VALUE"""),"17/09/2026 11:58:57")</f>
        <v>17/09/2026 11:58:57</v>
      </c>
      <c r="K109" s="3" t="str">
        <f>IFERROR(__xludf.dummyfunction("""COMPUTED_VALUE"""),"Liz Wandry da silva")</f>
        <v>Liz Wandry da silva</v>
      </c>
      <c r="L109" s="146" t="str">
        <f>IFERROR(__xludf.dummyfunction("""COMPUTED_VALUE"""),"004.845.134-78")</f>
        <v>004.845.134-78</v>
      </c>
      <c r="M109" s="146" t="str">
        <f>IFERROR(__xludf.dummyfunction("""COMPUTED_VALUE"""),"14/12/2024")</f>
        <v>14/12/2024</v>
      </c>
      <c r="N109" s="3"/>
      <c r="O109" s="3" t="str">
        <f>IFERROR(__xludf.dummyfunction("""COMPUTED_VALUE"""),"0")</f>
        <v>0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hidden="1" customHeight="1" spans="1:29">
      <c r="A110" s="3"/>
      <c r="B110" s="3" t="str">
        <f t="array" ref="B110">_xlfn.XLOOKUP(D110,Tabela_Dados_Esc_JAB_2026[INEP],Tabela_Dados_Esc_JAB_2026[REGIONAL],"NE",0)</f>
        <v>REGIONAL 5</v>
      </c>
      <c r="C110" s="4" t="str">
        <f>IFERROR(__xludf.dummyfunction("""COMPUTED_VALUE"""),"CEMEI PROFESSORA LINDOMAR DOMINGOS DA SILVA ANJOS")</f>
        <v>CEMEI PROFESSORA LINDOMAR DOMINGOS DA SILVA ANJOS</v>
      </c>
      <c r="D110" s="3" t="str">
        <f>IFERROR(__xludf.dummyfunction("""COMPUTED_VALUE"""),"26191296")</f>
        <v>26191296</v>
      </c>
      <c r="E110" s="3" t="str">
        <f>IFERROR(__xludf.dummyfunction("""COMPUTED_VALUE"""),"INFANTIL 1")</f>
        <v>INFANTIL 1</v>
      </c>
      <c r="F110" s="3" t="str">
        <f>IFERROR(__xludf.dummyfunction("""COMPUTED_VALUE"""),"Integral")</f>
        <v>Integral</v>
      </c>
      <c r="G110" s="3" t="str">
        <f>IFERROR(__xludf.dummyfunction("""COMPUTED_VALUE"""),"Comum")</f>
        <v>Comum</v>
      </c>
      <c r="H110" s="3" t="str">
        <f>IFERROR(__xludf.dummyfunction("""COMPUTED_VALUE"""),"33")</f>
        <v>33</v>
      </c>
      <c r="I110" s="147" t="str">
        <f>IFERROR(__xludf.dummyfunction("""COMPUTED_VALUE"""),"26092559935")</f>
        <v>26092559935</v>
      </c>
      <c r="J110" s="3" t="str">
        <f>IFERROR(__xludf.dummyfunction("""COMPUTED_VALUE"""),"23/09/2026 11:12:15")</f>
        <v>23/09/2026 11:12:15</v>
      </c>
      <c r="K110" s="3" t="str">
        <f>IFERROR(__xludf.dummyfunction("""COMPUTED_VALUE"""),"Gabriel de Oliveira Cardoso")</f>
        <v>Gabriel de Oliveira Cardoso</v>
      </c>
      <c r="L110" s="146" t="str">
        <f>IFERROR(__xludf.dummyfunction("""COMPUTED_VALUE"""),"007.652.866-96")</f>
        <v>007.652.866-96</v>
      </c>
      <c r="M110" s="146" t="str">
        <f>IFERROR(__xludf.dummyfunction("""COMPUTED_VALUE"""),"03/04/2024")</f>
        <v>03/04/2024</v>
      </c>
      <c r="N110" s="3"/>
      <c r="O110" s="3" t="str">
        <f>IFERROR(__xludf.dummyfunction("""COMPUTED_VALUE"""),"0")</f>
        <v>0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hidden="1" customHeight="1" spans="1:29">
      <c r="A111" s="3"/>
      <c r="B111" s="3" t="str">
        <f t="array" ref="B111">_xlfn.XLOOKUP(D111,Tabela_Dados_Esc_JAB_2026[INEP],Tabela_Dados_Esc_JAB_2026[REGIONAL],"NE",0)</f>
        <v>REGIONAL 5</v>
      </c>
      <c r="C111" s="4" t="str">
        <f>IFERROR(__xludf.dummyfunction("""COMPUTED_VALUE"""),"CEMEI PROFESSORA LINDOMAR DOMINGOS DA SILVA ANJOS")</f>
        <v>CEMEI PROFESSORA LINDOMAR DOMINGOS DA SILVA ANJOS</v>
      </c>
      <c r="D111" s="3" t="str">
        <f>IFERROR(__xludf.dummyfunction("""COMPUTED_VALUE"""),"26191296")</f>
        <v>26191296</v>
      </c>
      <c r="E111" s="3" t="str">
        <f>IFERROR(__xludf.dummyfunction("""COMPUTED_VALUE"""),"INFANTIL 2")</f>
        <v>INFANTIL 2</v>
      </c>
      <c r="F111" s="3" t="str">
        <f>IFERROR(__xludf.dummyfunction("""COMPUTED_VALUE"""),"Integral")</f>
        <v>Integral</v>
      </c>
      <c r="G111" s="3" t="str">
        <f>IFERROR(__xludf.dummyfunction("""COMPUTED_VALUE"""),"Comum")</f>
        <v>Comum</v>
      </c>
      <c r="H111" s="3" t="str">
        <f>IFERROR(__xludf.dummyfunction("""COMPUTED_VALUE"""),"1")</f>
        <v>1</v>
      </c>
      <c r="I111" s="147" t="str">
        <f>IFERROR(__xludf.dummyfunction("""COMPUTED_VALUE"""),"26012113244")</f>
        <v>26012113244</v>
      </c>
      <c r="J111" s="3" t="str">
        <f>IFERROR(__xludf.dummyfunction("""COMPUTED_VALUE"""),"28/01/2026 08:06:54")</f>
        <v>28/01/2026 08:06:54</v>
      </c>
      <c r="K111" s="3" t="str">
        <f>IFERROR(__xludf.dummyfunction("""COMPUTED_VALUE"""),"ALYCIA MARIA FERREIRA LOPES")</f>
        <v>ALYCIA MARIA FERREIRA LOPES</v>
      </c>
      <c r="L111" s="146" t="str">
        <f>IFERROR(__xludf.dummyfunction("""COMPUTED_VALUE"""),"185.002.054-07")</f>
        <v>185.002.054-07</v>
      </c>
      <c r="M111" s="146" t="str">
        <f>IFERROR(__xludf.dummyfunction("""COMPUTED_VALUE"""),"06/04/2023")</f>
        <v>06/04/2023</v>
      </c>
      <c r="N111" s="3"/>
      <c r="O111" s="3" t="str">
        <f>IFERROR(__xludf.dummyfunction("""COMPUTED_VALUE"""),"0")</f>
        <v>0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hidden="1" customHeight="1" spans="1:29">
      <c r="A112" s="3"/>
      <c r="B112" s="3" t="str">
        <f t="array" ref="B112">_xlfn.XLOOKUP(D112,Tabela_Dados_Esc_JAB_2026[INEP],Tabela_Dados_Esc_JAB_2026[REGIONAL],"NE",0)</f>
        <v>REGIONAL 5</v>
      </c>
      <c r="C112" s="4" t="str">
        <f>IFERROR(__xludf.dummyfunction("""COMPUTED_VALUE"""),"CEMEI PROFESSORA LINDOMAR DOMINGOS DA SILVA ANJOS")</f>
        <v>CEMEI PROFESSORA LINDOMAR DOMINGOS DA SILVA ANJOS</v>
      </c>
      <c r="D112" s="3" t="str">
        <f>IFERROR(__xludf.dummyfunction("""COMPUTED_VALUE"""),"26191296")</f>
        <v>26191296</v>
      </c>
      <c r="E112" s="3" t="str">
        <f>IFERROR(__xludf.dummyfunction("""COMPUTED_VALUE"""),"INFANTIL 2")</f>
        <v>INFANTIL 2</v>
      </c>
      <c r="F112" s="3" t="str">
        <f>IFERROR(__xludf.dummyfunction("""COMPUTED_VALUE"""),"Integral")</f>
        <v>Integral</v>
      </c>
      <c r="G112" s="3" t="str">
        <f>IFERROR(__xludf.dummyfunction("""COMPUTED_VALUE"""),"Comum")</f>
        <v>Comum</v>
      </c>
      <c r="H112" s="3" t="str">
        <f>IFERROR(__xludf.dummyfunction("""COMPUTED_VALUE"""),"2")</f>
        <v>2</v>
      </c>
      <c r="I112" s="147" t="str">
        <f>IFERROR(__xludf.dummyfunction("""COMPUTED_VALUE"""),"26012668599")</f>
        <v>26012668599</v>
      </c>
      <c r="J112" s="3" t="str">
        <f>IFERROR(__xludf.dummyfunction("""COMPUTED_VALUE"""),"28/01/2026 08:08:24")</f>
        <v>28/01/2026 08:08:24</v>
      </c>
      <c r="K112" s="3" t="str">
        <f>IFERROR(__xludf.dummyfunction("""COMPUTED_VALUE"""),"MIKAEL OLIVEIRA FERREIRA CAVALCANTE")</f>
        <v>MIKAEL OLIVEIRA FERREIRA CAVALCANTE</v>
      </c>
      <c r="L112" s="146" t="str">
        <f>IFERROR(__xludf.dummyfunction("""COMPUTED_VALUE"""),"186.109.834-04")</f>
        <v>186.109.834-04</v>
      </c>
      <c r="M112" s="146" t="str">
        <f>IFERROR(__xludf.dummyfunction("""COMPUTED_VALUE"""),"23/07/2023")</f>
        <v>23/07/2023</v>
      </c>
      <c r="N112" s="3"/>
      <c r="O112" s="3" t="str">
        <f>IFERROR(__xludf.dummyfunction("""COMPUTED_VALUE"""),"0")</f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hidden="1" customHeight="1" spans="1:29">
      <c r="A113" s="3"/>
      <c r="B113" s="3" t="str">
        <f t="array" ref="B113">_xlfn.XLOOKUP(D113,Tabela_Dados_Esc_JAB_2026[INEP],Tabela_Dados_Esc_JAB_2026[REGIONAL],"NE",0)</f>
        <v>REGIONAL 5</v>
      </c>
      <c r="C113" s="4" t="str">
        <f>IFERROR(__xludf.dummyfunction("""COMPUTED_VALUE"""),"CEMEI PROFESSORA LINDOMAR DOMINGOS DA SILVA ANJOS")</f>
        <v>CEMEI PROFESSORA LINDOMAR DOMINGOS DA SILVA ANJOS</v>
      </c>
      <c r="D113" s="3" t="str">
        <f>IFERROR(__xludf.dummyfunction("""COMPUTED_VALUE"""),"26191296")</f>
        <v>26191296</v>
      </c>
      <c r="E113" s="3" t="str">
        <f>IFERROR(__xludf.dummyfunction("""COMPUTED_VALUE"""),"INFANTIL 2")</f>
        <v>INFANTIL 2</v>
      </c>
      <c r="F113" s="3" t="str">
        <f>IFERROR(__xludf.dummyfunction("""COMPUTED_VALUE"""),"Integral")</f>
        <v>Integral</v>
      </c>
      <c r="G113" s="3" t="str">
        <f>IFERROR(__xludf.dummyfunction("""COMPUTED_VALUE"""),"Comum")</f>
        <v>Comum</v>
      </c>
      <c r="H113" s="3" t="str">
        <f>IFERROR(__xludf.dummyfunction("""COMPUTED_VALUE"""),"3")</f>
        <v>3</v>
      </c>
      <c r="I113" s="147" t="str">
        <f>IFERROR(__xludf.dummyfunction("""COMPUTED_VALUE"""),"26012794977")</f>
        <v>26012794977</v>
      </c>
      <c r="J113" s="3" t="str">
        <f>IFERROR(__xludf.dummyfunction("""COMPUTED_VALUE"""),"28/01/2026 08:14:44")</f>
        <v>28/01/2026 08:14:44</v>
      </c>
      <c r="K113" s="3" t="str">
        <f>IFERROR(__xludf.dummyfunction("""COMPUTED_VALUE"""),"SARAH BEATRIZ CORREIA RODRIGUES DA SILVA")</f>
        <v>SARAH BEATRIZ CORREIA RODRIGUES DA SILVA</v>
      </c>
      <c r="L113" s="146" t="str">
        <f>IFERROR(__xludf.dummyfunction("""COMPUTED_VALUE"""),"185.680.884-06")</f>
        <v>185.680.884-06</v>
      </c>
      <c r="M113" s="146" t="str">
        <f>IFERROR(__xludf.dummyfunction("""COMPUTED_VALUE"""),"07/06/2023")</f>
        <v>07/06/2023</v>
      </c>
      <c r="N113" s="3"/>
      <c r="O113" s="3" t="str">
        <f>IFERROR(__xludf.dummyfunction("""COMPUTED_VALUE"""),"0")</f>
        <v>0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hidden="1" customHeight="1" spans="1:29">
      <c r="A114" s="3"/>
      <c r="B114" s="3" t="str">
        <f t="array" ref="B114">_xlfn.XLOOKUP(D114,Tabela_Dados_Esc_JAB_2026[INEP],Tabela_Dados_Esc_JAB_2026[REGIONAL],"NE",0)</f>
        <v>REGIONAL 5</v>
      </c>
      <c r="C114" s="4" t="str">
        <f>IFERROR(__xludf.dummyfunction("""COMPUTED_VALUE"""),"CEMEI PROFESSORA LINDOMAR DOMINGOS DA SILVA ANJOS")</f>
        <v>CEMEI PROFESSORA LINDOMAR DOMINGOS DA SILVA ANJOS</v>
      </c>
      <c r="D114" s="3" t="str">
        <f>IFERROR(__xludf.dummyfunction("""COMPUTED_VALUE"""),"26191296")</f>
        <v>26191296</v>
      </c>
      <c r="E114" s="3" t="str">
        <f>IFERROR(__xludf.dummyfunction("""COMPUTED_VALUE"""),"INFANTIL 2")</f>
        <v>INFANTIL 2</v>
      </c>
      <c r="F114" s="3" t="str">
        <f>IFERROR(__xludf.dummyfunction("""COMPUTED_VALUE"""),"Integral")</f>
        <v>Integral</v>
      </c>
      <c r="G114" s="3" t="str">
        <f>IFERROR(__xludf.dummyfunction("""COMPUTED_VALUE"""),"Comum")</f>
        <v>Comum</v>
      </c>
      <c r="H114" s="3" t="str">
        <f>IFERROR(__xludf.dummyfunction("""COMPUTED_VALUE"""),"4")</f>
        <v>4</v>
      </c>
      <c r="I114" s="147" t="str">
        <f>IFERROR(__xludf.dummyfunction("""COMPUTED_VALUE"""),"26012623194")</f>
        <v>26012623194</v>
      </c>
      <c r="J114" s="3" t="str">
        <f>IFERROR(__xludf.dummyfunction("""COMPUTED_VALUE"""),"28/01/2026 08:17:19")</f>
        <v>28/01/2026 08:17:19</v>
      </c>
      <c r="K114" s="3" t="str">
        <f>IFERROR(__xludf.dummyfunction("""COMPUTED_VALUE"""),"LAURA MARIAH TEIXEIRA SILVA")</f>
        <v>LAURA MARIAH TEIXEIRA SILVA</v>
      </c>
      <c r="L114" s="146" t="str">
        <f>IFERROR(__xludf.dummyfunction("""COMPUTED_VALUE"""),"002.969.484-11")</f>
        <v>002.969.484-11</v>
      </c>
      <c r="M114" s="146" t="str">
        <f>IFERROR(__xludf.dummyfunction("""COMPUTED_VALUE"""),"18/02/2024")</f>
        <v>18/02/2024</v>
      </c>
      <c r="N114" s="3"/>
      <c r="O114" s="3" t="str">
        <f>IFERROR(__xludf.dummyfunction("""COMPUTED_VALUE"""),"0")</f>
        <v>0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hidden="1" customHeight="1" spans="1:29">
      <c r="A115" s="3"/>
      <c r="B115" s="3" t="str">
        <f t="array" ref="B115">_xlfn.XLOOKUP(D115,Tabela_Dados_Esc_JAB_2026[INEP],Tabela_Dados_Esc_JAB_2026[REGIONAL],"NE",0)</f>
        <v>REGIONAL 5</v>
      </c>
      <c r="C115" s="4" t="str">
        <f>IFERROR(__xludf.dummyfunction("""COMPUTED_VALUE"""),"CEMEI PROFESSORA LINDOMAR DOMINGOS DA SILVA ANJOS")</f>
        <v>CEMEI PROFESSORA LINDOMAR DOMINGOS DA SILVA ANJOS</v>
      </c>
      <c r="D115" s="3" t="str">
        <f>IFERROR(__xludf.dummyfunction("""COMPUTED_VALUE"""),"26191296")</f>
        <v>26191296</v>
      </c>
      <c r="E115" s="3" t="str">
        <f>IFERROR(__xludf.dummyfunction("""COMPUTED_VALUE"""),"INFANTIL 2")</f>
        <v>INFANTIL 2</v>
      </c>
      <c r="F115" s="3" t="str">
        <f>IFERROR(__xludf.dummyfunction("""COMPUTED_VALUE"""),"Integral")</f>
        <v>Integral</v>
      </c>
      <c r="G115" s="3" t="str">
        <f>IFERROR(__xludf.dummyfunction("""COMPUTED_VALUE"""),"Comum")</f>
        <v>Comum</v>
      </c>
      <c r="H115" s="3" t="str">
        <f>IFERROR(__xludf.dummyfunction("""COMPUTED_VALUE"""),"5")</f>
        <v>5</v>
      </c>
      <c r="I115" s="147" t="str">
        <f>IFERROR(__xludf.dummyfunction("""COMPUTED_VALUE"""),"26012261808")</f>
        <v>26012261808</v>
      </c>
      <c r="J115" s="3" t="str">
        <f>IFERROR(__xludf.dummyfunction("""COMPUTED_VALUE"""),"28/01/2026 08:25:56")</f>
        <v>28/01/2026 08:25:56</v>
      </c>
      <c r="K115" s="3" t="str">
        <f>IFERROR(__xludf.dummyfunction("""COMPUTED_VALUE"""),"MARIA GABRIELA DA SILVA PORFIRIO ALVES")</f>
        <v>MARIA GABRIELA DA SILVA PORFIRIO ALVES</v>
      </c>
      <c r="L115" s="146" t="str">
        <f>IFERROR(__xludf.dummyfunction("""COMPUTED_VALUE"""),"185.992.474-33")</f>
        <v>185.992.474-33</v>
      </c>
      <c r="M115" s="146" t="str">
        <f>IFERROR(__xludf.dummyfunction("""COMPUTED_VALUE"""),"15/05/2023")</f>
        <v>15/05/2023</v>
      </c>
      <c r="N115" s="3"/>
      <c r="O115" s="3" t="str">
        <f>IFERROR(__xludf.dummyfunction("""COMPUTED_VALUE"""),"0")</f>
        <v>0</v>
      </c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hidden="1" customHeight="1" spans="1:29">
      <c r="A116" s="3"/>
      <c r="B116" s="3" t="str">
        <f t="array" ref="B116">_xlfn.XLOOKUP(D116,Tabela_Dados_Esc_JAB_2026[INEP],Tabela_Dados_Esc_JAB_2026[REGIONAL],"NE",0)</f>
        <v>REGIONAL 5</v>
      </c>
      <c r="C116" s="4" t="str">
        <f>IFERROR(__xludf.dummyfunction("""COMPUTED_VALUE"""),"CEMEI PROFESSORA LINDOMAR DOMINGOS DA SILVA ANJOS")</f>
        <v>CEMEI PROFESSORA LINDOMAR DOMINGOS DA SILVA ANJOS</v>
      </c>
      <c r="D116" s="3" t="str">
        <f>IFERROR(__xludf.dummyfunction("""COMPUTED_VALUE"""),"26191296")</f>
        <v>26191296</v>
      </c>
      <c r="E116" s="3" t="str">
        <f>IFERROR(__xludf.dummyfunction("""COMPUTED_VALUE"""),"INFANTIL 2")</f>
        <v>INFANTIL 2</v>
      </c>
      <c r="F116" s="3" t="str">
        <f>IFERROR(__xludf.dummyfunction("""COMPUTED_VALUE"""),"Integral")</f>
        <v>Integral</v>
      </c>
      <c r="G116" s="3" t="str">
        <f>IFERROR(__xludf.dummyfunction("""COMPUTED_VALUE"""),"Comum")</f>
        <v>Comum</v>
      </c>
      <c r="H116" s="3" t="str">
        <f>IFERROR(__xludf.dummyfunction("""COMPUTED_VALUE"""),"6")</f>
        <v>6</v>
      </c>
      <c r="I116" s="147" t="str">
        <f>IFERROR(__xludf.dummyfunction("""COMPUTED_VALUE"""),"26012739667")</f>
        <v>26012739667</v>
      </c>
      <c r="J116" s="3" t="str">
        <f>IFERROR(__xludf.dummyfunction("""COMPUTED_VALUE"""),"28/01/2026 08:25:59")</f>
        <v>28/01/2026 08:25:59</v>
      </c>
      <c r="K116" s="3" t="str">
        <f>IFERROR(__xludf.dummyfunction("""COMPUTED_VALUE"""),"EMILLY BEATRIZ SANTOS")</f>
        <v>EMILLY BEATRIZ SANTOS</v>
      </c>
      <c r="L116" s="146" t="str">
        <f>IFERROR(__xludf.dummyfunction("""COMPUTED_VALUE"""),"002.613.284-25")</f>
        <v>002.613.284-25</v>
      </c>
      <c r="M116" s="146" t="str">
        <f>IFERROR(__xludf.dummyfunction("""COMPUTED_VALUE"""),"12/12/2023")</f>
        <v>12/12/2023</v>
      </c>
      <c r="N116" s="3"/>
      <c r="O116" s="3" t="str">
        <f>IFERROR(__xludf.dummyfunction("""COMPUTED_VALUE"""),"0")</f>
        <v>0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hidden="1" customHeight="1" spans="1:29">
      <c r="A117" s="3"/>
      <c r="B117" s="3" t="str">
        <f t="array" ref="B117">_xlfn.XLOOKUP(D117,Tabela_Dados_Esc_JAB_2026[INEP],Tabela_Dados_Esc_JAB_2026[REGIONAL],"NE",0)</f>
        <v>REGIONAL 5</v>
      </c>
      <c r="C117" s="4" t="str">
        <f>IFERROR(__xludf.dummyfunction("""COMPUTED_VALUE"""),"CEMEI PROFESSORA LINDOMAR DOMINGOS DA SILVA ANJOS")</f>
        <v>CEMEI PROFESSORA LINDOMAR DOMINGOS DA SILVA ANJOS</v>
      </c>
      <c r="D117" s="3" t="str">
        <f>IFERROR(__xludf.dummyfunction("""COMPUTED_VALUE"""),"26191296")</f>
        <v>26191296</v>
      </c>
      <c r="E117" s="3" t="str">
        <f>IFERROR(__xludf.dummyfunction("""COMPUTED_VALUE"""),"INFANTIL 2")</f>
        <v>INFANTIL 2</v>
      </c>
      <c r="F117" s="3" t="str">
        <f>IFERROR(__xludf.dummyfunction("""COMPUTED_VALUE"""),"Integral")</f>
        <v>Integral</v>
      </c>
      <c r="G117" s="3" t="str">
        <f>IFERROR(__xludf.dummyfunction("""COMPUTED_VALUE"""),"Comum")</f>
        <v>Comum</v>
      </c>
      <c r="H117" s="3" t="str">
        <f>IFERROR(__xludf.dummyfunction("""COMPUTED_VALUE"""),"7")</f>
        <v>7</v>
      </c>
      <c r="I117" s="147" t="str">
        <f>IFERROR(__xludf.dummyfunction("""COMPUTED_VALUE"""),"26012222881")</f>
        <v>26012222881</v>
      </c>
      <c r="J117" s="3" t="str">
        <f>IFERROR(__xludf.dummyfunction("""COMPUTED_VALUE"""),"28/01/2026 08:31:41")</f>
        <v>28/01/2026 08:31:41</v>
      </c>
      <c r="K117" s="3" t="str">
        <f>IFERROR(__xludf.dummyfunction("""COMPUTED_VALUE"""),"LEVY MATHEUS SANTOS LINS")</f>
        <v>LEVY MATHEUS SANTOS LINS</v>
      </c>
      <c r="L117" s="146" t="str">
        <f>IFERROR(__xludf.dummyfunction("""COMPUTED_VALUE"""),"001.763.444-03")</f>
        <v>001.763.444-03</v>
      </c>
      <c r="M117" s="146" t="str">
        <f>IFERROR(__xludf.dummyfunction("""COMPUTED_VALUE"""),"25/01/2024")</f>
        <v>25/01/2024</v>
      </c>
      <c r="N117" s="3"/>
      <c r="O117" s="3" t="str">
        <f>IFERROR(__xludf.dummyfunction("""COMPUTED_VALUE"""),"0")</f>
        <v>0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hidden="1" customHeight="1" spans="1:29">
      <c r="A118" s="3"/>
      <c r="B118" s="3" t="str">
        <f t="array" ref="B118">_xlfn.XLOOKUP(D118,Tabela_Dados_Esc_JAB_2026[INEP],Tabela_Dados_Esc_JAB_2026[REGIONAL],"NE",0)</f>
        <v>REGIONAL 5</v>
      </c>
      <c r="C118" s="4" t="str">
        <f>IFERROR(__xludf.dummyfunction("""COMPUTED_VALUE"""),"CEMEI PROFESSORA LINDOMAR DOMINGOS DA SILVA ANJOS")</f>
        <v>CEMEI PROFESSORA LINDOMAR DOMINGOS DA SILVA ANJOS</v>
      </c>
      <c r="D118" s="3" t="str">
        <f>IFERROR(__xludf.dummyfunction("""COMPUTED_VALUE"""),"26191296")</f>
        <v>26191296</v>
      </c>
      <c r="E118" s="3" t="str">
        <f>IFERROR(__xludf.dummyfunction("""COMPUTED_VALUE"""),"INFANTIL 2")</f>
        <v>INFANTIL 2</v>
      </c>
      <c r="F118" s="3" t="str">
        <f>IFERROR(__xludf.dummyfunction("""COMPUTED_VALUE"""),"Integral")</f>
        <v>Integral</v>
      </c>
      <c r="G118" s="3" t="str">
        <f>IFERROR(__xludf.dummyfunction("""COMPUTED_VALUE"""),"Comum")</f>
        <v>Comum</v>
      </c>
      <c r="H118" s="3" t="str">
        <f>IFERROR(__xludf.dummyfunction("""COMPUTED_VALUE"""),"8")</f>
        <v>8</v>
      </c>
      <c r="I118" s="147" t="str">
        <f>IFERROR(__xludf.dummyfunction("""COMPUTED_VALUE"""),"26012659283")</f>
        <v>26012659283</v>
      </c>
      <c r="J118" s="3" t="str">
        <f>IFERROR(__xludf.dummyfunction("""COMPUTED_VALUE"""),"28/01/2026 09:00:15")</f>
        <v>28/01/2026 09:00:15</v>
      </c>
      <c r="K118" s="3" t="str">
        <f>IFERROR(__xludf.dummyfunction("""COMPUTED_VALUE"""),"HELLOYSA MARIA CAVALCANTE DE LEMOS")</f>
        <v>HELLOYSA MARIA CAVALCANTE DE LEMOS</v>
      </c>
      <c r="L118" s="146" t="str">
        <f>IFERROR(__xludf.dummyfunction("""COMPUTED_VALUE"""),"001.593.854-90")</f>
        <v>001.593.854-90</v>
      </c>
      <c r="M118" s="146" t="str">
        <f>IFERROR(__xludf.dummyfunction("""COMPUTED_VALUE"""),"21/12/2023")</f>
        <v>21/12/2023</v>
      </c>
      <c r="N118" s="3"/>
      <c r="O118" s="3" t="str">
        <f>IFERROR(__xludf.dummyfunction("""COMPUTED_VALUE"""),"0")</f>
        <v>0</v>
      </c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hidden="1" customHeight="1" spans="1:29">
      <c r="A119" s="3"/>
      <c r="B119" s="3" t="str">
        <f t="array" ref="B119">_xlfn.XLOOKUP(D119,Tabela_Dados_Esc_JAB_2026[INEP],Tabela_Dados_Esc_JAB_2026[REGIONAL],"NE",0)</f>
        <v>REGIONAL 5</v>
      </c>
      <c r="C119" s="4" t="str">
        <f>IFERROR(__xludf.dummyfunction("""COMPUTED_VALUE"""),"CEMEI PROFESSORA LINDOMAR DOMINGOS DA SILVA ANJOS")</f>
        <v>CEMEI PROFESSORA LINDOMAR DOMINGOS DA SILVA ANJOS</v>
      </c>
      <c r="D119" s="3" t="str">
        <f>IFERROR(__xludf.dummyfunction("""COMPUTED_VALUE"""),"26191296")</f>
        <v>26191296</v>
      </c>
      <c r="E119" s="3" t="str">
        <f>IFERROR(__xludf.dummyfunction("""COMPUTED_VALUE"""),"INFANTIL 2")</f>
        <v>INFANTIL 2</v>
      </c>
      <c r="F119" s="3" t="str">
        <f>IFERROR(__xludf.dummyfunction("""COMPUTED_VALUE"""),"Integral")</f>
        <v>Integral</v>
      </c>
      <c r="G119" s="3" t="str">
        <f>IFERROR(__xludf.dummyfunction("""COMPUTED_VALUE"""),"Comum")</f>
        <v>Comum</v>
      </c>
      <c r="H119" s="3" t="str">
        <f>IFERROR(__xludf.dummyfunction("""COMPUTED_VALUE"""),"9")</f>
        <v>9</v>
      </c>
      <c r="I119" s="147" t="str">
        <f>IFERROR(__xludf.dummyfunction("""COMPUTED_VALUE"""),"26012696665")</f>
        <v>26012696665</v>
      </c>
      <c r="J119" s="3" t="str">
        <f>IFERROR(__xludf.dummyfunction("""COMPUTED_VALUE"""),"28/01/2026 09:08:41")</f>
        <v>28/01/2026 09:08:41</v>
      </c>
      <c r="K119" s="3" t="str">
        <f>IFERROR(__xludf.dummyfunction("""COMPUTED_VALUE"""),"THÉO VINÍCIUS DA SILVA FERNANDES")</f>
        <v>THÉO VINÍCIUS DA SILVA FERNANDES</v>
      </c>
      <c r="L119" s="146" t="str">
        <f>IFERROR(__xludf.dummyfunction("""COMPUTED_VALUE"""),"186.161.124-21")</f>
        <v>186.161.124-21</v>
      </c>
      <c r="M119" s="146" t="str">
        <f>IFERROR(__xludf.dummyfunction("""COMPUTED_VALUE"""),"04/08/2023")</f>
        <v>04/08/2023</v>
      </c>
      <c r="N119" s="3"/>
      <c r="O119" s="3" t="str">
        <f>IFERROR(__xludf.dummyfunction("""COMPUTED_VALUE"""),"0")</f>
        <v>0</v>
      </c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hidden="1" customHeight="1" spans="1:29">
      <c r="A120" s="3"/>
      <c r="B120" s="3" t="str">
        <f t="array" ref="B120">_xlfn.XLOOKUP(D120,Tabela_Dados_Esc_JAB_2026[INEP],Tabela_Dados_Esc_JAB_2026[REGIONAL],"NE",0)</f>
        <v>REGIONAL 5</v>
      </c>
      <c r="C120" s="4" t="str">
        <f>IFERROR(__xludf.dummyfunction("""COMPUTED_VALUE"""),"CEMEI PROFESSORA LINDOMAR DOMINGOS DA SILVA ANJOS")</f>
        <v>CEMEI PROFESSORA LINDOMAR DOMINGOS DA SILVA ANJOS</v>
      </c>
      <c r="D120" s="3" t="str">
        <f>IFERROR(__xludf.dummyfunction("""COMPUTED_VALUE"""),"26191296")</f>
        <v>26191296</v>
      </c>
      <c r="E120" s="3" t="str">
        <f>IFERROR(__xludf.dummyfunction("""COMPUTED_VALUE"""),"INFANTIL 2")</f>
        <v>INFANTIL 2</v>
      </c>
      <c r="F120" s="3" t="str">
        <f>IFERROR(__xludf.dummyfunction("""COMPUTED_VALUE"""),"Integral")</f>
        <v>Integral</v>
      </c>
      <c r="G120" s="3" t="str">
        <f>IFERROR(__xludf.dummyfunction("""COMPUTED_VALUE"""),"Comum")</f>
        <v>Comum</v>
      </c>
      <c r="H120" s="3" t="str">
        <f>IFERROR(__xludf.dummyfunction("""COMPUTED_VALUE"""),"10")</f>
        <v>10</v>
      </c>
      <c r="I120" s="145" t="str">
        <f>IFERROR(__xludf.dummyfunction("""COMPUTED_VALUE"""),"26012984567")</f>
        <v>26012984567</v>
      </c>
      <c r="J120" s="3" t="str">
        <f>IFERROR(__xludf.dummyfunction("""COMPUTED_VALUE"""),"28/01/2026 09:29:37")</f>
        <v>28/01/2026 09:29:37</v>
      </c>
      <c r="K120" s="3" t="str">
        <f>IFERROR(__xludf.dummyfunction("""COMPUTED_VALUE"""),"MAITÊ FERNANDA DA SILVA")</f>
        <v>MAITÊ FERNANDA DA SILVA</v>
      </c>
      <c r="L120" s="146" t="str">
        <f>IFERROR(__xludf.dummyfunction("""COMPUTED_VALUE"""),"001.588.084-28")</f>
        <v>001.588.084-28</v>
      </c>
      <c r="M120" s="146" t="str">
        <f>IFERROR(__xludf.dummyfunction("""COMPUTED_VALUE"""),"30/12/2023")</f>
        <v>30/12/2023</v>
      </c>
      <c r="N120" s="3"/>
      <c r="O120" s="3" t="str">
        <f>IFERROR(__xludf.dummyfunction("""COMPUTED_VALUE"""),"0")</f>
        <v>0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hidden="1" customHeight="1" spans="1:29">
      <c r="A121" s="3"/>
      <c r="B121" s="3" t="str">
        <f t="array" ref="B121">_xlfn.XLOOKUP(D121,Tabela_Dados_Esc_JAB_2026[INEP],Tabela_Dados_Esc_JAB_2026[REGIONAL],"NE",0)</f>
        <v>REGIONAL 5</v>
      </c>
      <c r="C121" s="4" t="str">
        <f>IFERROR(__xludf.dummyfunction("""COMPUTED_VALUE"""),"CEMEI PROFESSORA LINDOMAR DOMINGOS DA SILVA ANJOS")</f>
        <v>CEMEI PROFESSORA LINDOMAR DOMINGOS DA SILVA ANJOS</v>
      </c>
      <c r="D121" s="3" t="str">
        <f>IFERROR(__xludf.dummyfunction("""COMPUTED_VALUE"""),"26191296")</f>
        <v>26191296</v>
      </c>
      <c r="E121" s="3" t="str">
        <f>IFERROR(__xludf.dummyfunction("""COMPUTED_VALUE"""),"INFANTIL 2")</f>
        <v>INFANTIL 2</v>
      </c>
      <c r="F121" s="3" t="str">
        <f>IFERROR(__xludf.dummyfunction("""COMPUTED_VALUE"""),"Integral")</f>
        <v>Integral</v>
      </c>
      <c r="G121" s="3" t="str">
        <f>IFERROR(__xludf.dummyfunction("""COMPUTED_VALUE"""),"Comum")</f>
        <v>Comum</v>
      </c>
      <c r="H121" s="3" t="str">
        <f>IFERROR(__xludf.dummyfunction("""COMPUTED_VALUE"""),"11")</f>
        <v>11</v>
      </c>
      <c r="I121" s="145" t="str">
        <f>IFERROR(__xludf.dummyfunction("""COMPUTED_VALUE"""),"26012623723")</f>
        <v>26012623723</v>
      </c>
      <c r="J121" s="3" t="str">
        <f>IFERROR(__xludf.dummyfunction("""COMPUTED_VALUE"""),"28/01/2026 10:56:41")</f>
        <v>28/01/2026 10:56:41</v>
      </c>
      <c r="K121" s="3" t="str">
        <f>IFERROR(__xludf.dummyfunction("""COMPUTED_VALUE"""),"YSIS SILVA RAMOS")</f>
        <v>YSIS SILVA RAMOS</v>
      </c>
      <c r="L121" s="146" t="str">
        <f>IFERROR(__xludf.dummyfunction("""COMPUTED_VALUE"""),"000.422.384-55")</f>
        <v>000.422.384-55</v>
      </c>
      <c r="M121" s="146" t="str">
        <f>IFERROR(__xludf.dummyfunction("""COMPUTED_VALUE"""),"11/10/2023")</f>
        <v>11/10/2023</v>
      </c>
      <c r="N121" s="3"/>
      <c r="O121" s="3" t="str">
        <f>IFERROR(__xludf.dummyfunction("""COMPUTED_VALUE"""),"0")</f>
        <v>0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hidden="1" customHeight="1" spans="1:29">
      <c r="A122" s="3"/>
      <c r="B122" s="3" t="str">
        <f t="array" ref="B122">_xlfn.XLOOKUP(D122,Tabela_Dados_Esc_JAB_2026[INEP],Tabela_Dados_Esc_JAB_2026[REGIONAL],"NE",0)</f>
        <v>REGIONAL 5</v>
      </c>
      <c r="C122" s="4" t="str">
        <f>IFERROR(__xludf.dummyfunction("""COMPUTED_VALUE"""),"CEMEI PROFESSORA LINDOMAR DOMINGOS DA SILVA ANJOS")</f>
        <v>CEMEI PROFESSORA LINDOMAR DOMINGOS DA SILVA ANJOS</v>
      </c>
      <c r="D122" s="3" t="str">
        <f>IFERROR(__xludf.dummyfunction("""COMPUTED_VALUE"""),"26191296")</f>
        <v>26191296</v>
      </c>
      <c r="E122" s="3" t="str">
        <f>IFERROR(__xludf.dummyfunction("""COMPUTED_VALUE"""),"INFANTIL 2")</f>
        <v>INFANTIL 2</v>
      </c>
      <c r="F122" s="3" t="str">
        <f>IFERROR(__xludf.dummyfunction("""COMPUTED_VALUE"""),"Integral")</f>
        <v>Integral</v>
      </c>
      <c r="G122" s="3" t="str">
        <f>IFERROR(__xludf.dummyfunction("""COMPUTED_VALUE"""),"Comum")</f>
        <v>Comum</v>
      </c>
      <c r="H122" s="3" t="str">
        <f>IFERROR(__xludf.dummyfunction("""COMPUTED_VALUE"""),"12")</f>
        <v>12</v>
      </c>
      <c r="I122" s="145" t="str">
        <f>IFERROR(__xludf.dummyfunction("""COMPUTED_VALUE"""),"26012574322")</f>
        <v>26012574322</v>
      </c>
      <c r="J122" s="3" t="str">
        <f>IFERROR(__xludf.dummyfunction("""COMPUTED_VALUE"""),"28/01/2026 11:08:50")</f>
        <v>28/01/2026 11:08:50</v>
      </c>
      <c r="K122" s="3" t="str">
        <f>IFERROR(__xludf.dummyfunction("""COMPUTED_VALUE"""),"AINOANA VITÓRIA")</f>
        <v>AINOANA VITÓRIA</v>
      </c>
      <c r="L122" s="146" t="str">
        <f>IFERROR(__xludf.dummyfunction("""COMPUTED_VALUE"""),"157.026.924-62")</f>
        <v>157.026.924-62</v>
      </c>
      <c r="M122" s="146" t="str">
        <f>IFERROR(__xludf.dummyfunction("""COMPUTED_VALUE"""),"28/07/2023")</f>
        <v>28/07/2023</v>
      </c>
      <c r="N122" s="3"/>
      <c r="O122" s="3" t="str">
        <f>IFERROR(__xludf.dummyfunction("""COMPUTED_VALUE"""),"0")</f>
        <v>0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hidden="1" customHeight="1" spans="1:29">
      <c r="A123" s="3"/>
      <c r="B123" s="3" t="str">
        <f t="array" ref="B123">_xlfn.XLOOKUP(D123,Tabela_Dados_Esc_JAB_2026[INEP],Tabela_Dados_Esc_JAB_2026[REGIONAL],"NE",0)</f>
        <v>REGIONAL 5</v>
      </c>
      <c r="C123" s="4" t="str">
        <f>IFERROR(__xludf.dummyfunction("""COMPUTED_VALUE"""),"CEMEI PROFESSORA LINDOMAR DOMINGOS DA SILVA ANJOS")</f>
        <v>CEMEI PROFESSORA LINDOMAR DOMINGOS DA SILVA ANJOS</v>
      </c>
      <c r="D123" s="3" t="str">
        <f>IFERROR(__xludf.dummyfunction("""COMPUTED_VALUE"""),"26191296")</f>
        <v>26191296</v>
      </c>
      <c r="E123" s="3" t="str">
        <f>IFERROR(__xludf.dummyfunction("""COMPUTED_VALUE"""),"INFANTIL 2")</f>
        <v>INFANTIL 2</v>
      </c>
      <c r="F123" s="3" t="str">
        <f>IFERROR(__xludf.dummyfunction("""COMPUTED_VALUE"""),"Integral")</f>
        <v>Integral</v>
      </c>
      <c r="G123" s="3" t="str">
        <f>IFERROR(__xludf.dummyfunction("""COMPUTED_VALUE"""),"Comum")</f>
        <v>Comum</v>
      </c>
      <c r="H123" s="3" t="str">
        <f>IFERROR(__xludf.dummyfunction("""COMPUTED_VALUE"""),"13")</f>
        <v>13</v>
      </c>
      <c r="I123" s="145" t="str">
        <f>IFERROR(__xludf.dummyfunction("""COMPUTED_VALUE"""),"26012536461")</f>
        <v>26012536461</v>
      </c>
      <c r="J123" s="3" t="str">
        <f>IFERROR(__xludf.dummyfunction("""COMPUTED_VALUE"""),"28/01/2026 12:27:56")</f>
        <v>28/01/2026 12:27:56</v>
      </c>
      <c r="K123" s="3" t="str">
        <f>IFERROR(__xludf.dummyfunction("""COMPUTED_VALUE"""),"MANASSÉS MESSIAS DOS SANTOS COSTA")</f>
        <v>MANASSÉS MESSIAS DOS SANTOS COSTA</v>
      </c>
      <c r="L123" s="146" t="str">
        <f>IFERROR(__xludf.dummyfunction("""COMPUTED_VALUE"""),"185.866.824-70")</f>
        <v>185.866.824-70</v>
      </c>
      <c r="M123" s="146" t="str">
        <f>IFERROR(__xludf.dummyfunction("""COMPUTED_VALUE"""),"10/06/2023")</f>
        <v>10/06/2023</v>
      </c>
      <c r="N123" s="3"/>
      <c r="O123" s="3" t="str">
        <f>IFERROR(__xludf.dummyfunction("""COMPUTED_VALUE"""),"0")</f>
        <v>0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hidden="1" customHeight="1" spans="1:29">
      <c r="A124" s="3"/>
      <c r="B124" s="3" t="str">
        <f t="array" ref="B124">_xlfn.XLOOKUP(D124,Tabela_Dados_Esc_JAB_2026[INEP],Tabela_Dados_Esc_JAB_2026[REGIONAL],"NE",0)</f>
        <v>REGIONAL 5</v>
      </c>
      <c r="C124" s="4" t="str">
        <f>IFERROR(__xludf.dummyfunction("""COMPUTED_VALUE"""),"CEMEI PROFESSORA LINDOMAR DOMINGOS DA SILVA ANJOS")</f>
        <v>CEMEI PROFESSORA LINDOMAR DOMINGOS DA SILVA ANJOS</v>
      </c>
      <c r="D124" s="3" t="str">
        <f>IFERROR(__xludf.dummyfunction("""COMPUTED_VALUE"""),"26191296")</f>
        <v>26191296</v>
      </c>
      <c r="E124" s="3" t="str">
        <f>IFERROR(__xludf.dummyfunction("""COMPUTED_VALUE"""),"INFANTIL 2")</f>
        <v>INFANTIL 2</v>
      </c>
      <c r="F124" s="3" t="str">
        <f>IFERROR(__xludf.dummyfunction("""COMPUTED_VALUE"""),"Integral")</f>
        <v>Integral</v>
      </c>
      <c r="G124" s="3" t="str">
        <f>IFERROR(__xludf.dummyfunction("""COMPUTED_VALUE"""),"Comum")</f>
        <v>Comum</v>
      </c>
      <c r="H124" s="3" t="str">
        <f>IFERROR(__xludf.dummyfunction("""COMPUTED_VALUE"""),"14")</f>
        <v>14</v>
      </c>
      <c r="I124" s="145" t="str">
        <f>IFERROR(__xludf.dummyfunction("""COMPUTED_VALUE"""),"26012862691")</f>
        <v>26012862691</v>
      </c>
      <c r="J124" s="3" t="str">
        <f>IFERROR(__xludf.dummyfunction("""COMPUTED_VALUE"""),"29/01/2026 09:34:00")</f>
        <v>29/01/2026 09:34:00</v>
      </c>
      <c r="K124" s="3" t="str">
        <f>IFERROR(__xludf.dummyfunction("""COMPUTED_VALUE"""),"LARA SOPHIA OLIVEIRA DE ALMEIDA")</f>
        <v>LARA SOPHIA OLIVEIRA DE ALMEIDA</v>
      </c>
      <c r="L124" s="146" t="str">
        <f>IFERROR(__xludf.dummyfunction("""COMPUTED_VALUE"""),"002.991.064-11")</f>
        <v>002.991.064-11</v>
      </c>
      <c r="M124" s="146" t="str">
        <f>IFERROR(__xludf.dummyfunction("""COMPUTED_VALUE"""),"13/12/2023")</f>
        <v>13/12/2023</v>
      </c>
      <c r="N124" s="3"/>
      <c r="O124" s="3" t="str">
        <f>IFERROR(__xludf.dummyfunction("""COMPUTED_VALUE"""),"0")</f>
        <v>0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hidden="1" customHeight="1" spans="1:29">
      <c r="A125" s="3"/>
      <c r="B125" s="3" t="str">
        <f t="array" ref="B125">_xlfn.XLOOKUP(D125,Tabela_Dados_Esc_JAB_2026[INEP],Tabela_Dados_Esc_JAB_2026[REGIONAL],"NE",0)</f>
        <v>REGIONAL 5</v>
      </c>
      <c r="C125" s="4" t="str">
        <f>IFERROR(__xludf.dummyfunction("""COMPUTED_VALUE"""),"CEMEI PROFESSORA LINDOMAR DOMINGOS DA SILVA ANJOS")</f>
        <v>CEMEI PROFESSORA LINDOMAR DOMINGOS DA SILVA ANJOS</v>
      </c>
      <c r="D125" s="3" t="str">
        <f>IFERROR(__xludf.dummyfunction("""COMPUTED_VALUE"""),"26191296")</f>
        <v>26191296</v>
      </c>
      <c r="E125" s="3" t="str">
        <f>IFERROR(__xludf.dummyfunction("""COMPUTED_VALUE"""),"INFANTIL 2")</f>
        <v>INFANTIL 2</v>
      </c>
      <c r="F125" s="3" t="str">
        <f>IFERROR(__xludf.dummyfunction("""COMPUTED_VALUE"""),"Integral")</f>
        <v>Integral</v>
      </c>
      <c r="G125" s="3" t="str">
        <f>IFERROR(__xludf.dummyfunction("""COMPUTED_VALUE"""),"Comum")</f>
        <v>Comum</v>
      </c>
      <c r="H125" s="3" t="str">
        <f>IFERROR(__xludf.dummyfunction("""COMPUTED_VALUE"""),"15")</f>
        <v>15</v>
      </c>
      <c r="I125" s="145" t="str">
        <f>IFERROR(__xludf.dummyfunction("""COMPUTED_VALUE"""),"26012210494")</f>
        <v>26012210494</v>
      </c>
      <c r="J125" s="3" t="str">
        <f>IFERROR(__xludf.dummyfunction("""COMPUTED_VALUE"""),"29/01/2026 19:07:33")</f>
        <v>29/01/2026 19:07:33</v>
      </c>
      <c r="K125" s="3" t="str">
        <f>IFERROR(__xludf.dummyfunction("""COMPUTED_VALUE"""),"JOÃO PEDRO AIRES DE SOUZA")</f>
        <v>JOÃO PEDRO AIRES DE SOUZA</v>
      </c>
      <c r="L125" s="146" t="str">
        <f>IFERROR(__xludf.dummyfunction("""COMPUTED_VALUE"""),"185.347.964-08")</f>
        <v>185.347.964-08</v>
      </c>
      <c r="M125" s="146" t="str">
        <f>IFERROR(__xludf.dummyfunction("""COMPUTED_VALUE"""),"13/05/2023")</f>
        <v>13/05/2023</v>
      </c>
      <c r="N125" s="3"/>
      <c r="O125" s="3" t="str">
        <f>IFERROR(__xludf.dummyfunction("""COMPUTED_VALUE"""),"0")</f>
        <v>0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hidden="1" customHeight="1" spans="1:29">
      <c r="A126" s="3"/>
      <c r="B126" s="3" t="str">
        <f t="array" ref="B126">_xlfn.XLOOKUP(D126,Tabela_Dados_Esc_JAB_2026[INEP],Tabela_Dados_Esc_JAB_2026[REGIONAL],"NE",0)</f>
        <v>REGIONAL 5</v>
      </c>
      <c r="C126" s="4" t="str">
        <f>IFERROR(__xludf.dummyfunction("""COMPUTED_VALUE"""),"CEMEI PROFESSORA LINDOMAR DOMINGOS DA SILVA ANJOS")</f>
        <v>CEMEI PROFESSORA LINDOMAR DOMINGOS DA SILVA ANJOS</v>
      </c>
      <c r="D126" s="3" t="str">
        <f>IFERROR(__xludf.dummyfunction("""COMPUTED_VALUE"""),"26191296")</f>
        <v>26191296</v>
      </c>
      <c r="E126" s="3" t="str">
        <f>IFERROR(__xludf.dummyfunction("""COMPUTED_VALUE"""),"INFANTIL 2")</f>
        <v>INFANTIL 2</v>
      </c>
      <c r="F126" s="3" t="str">
        <f>IFERROR(__xludf.dummyfunction("""COMPUTED_VALUE"""),"Integral")</f>
        <v>Integral</v>
      </c>
      <c r="G126" s="3" t="str">
        <f>IFERROR(__xludf.dummyfunction("""COMPUTED_VALUE"""),"Comum")</f>
        <v>Comum</v>
      </c>
      <c r="H126" s="3" t="str">
        <f>IFERROR(__xludf.dummyfunction("""COMPUTED_VALUE"""),"16")</f>
        <v>16</v>
      </c>
      <c r="I126" s="145" t="str">
        <f>IFERROR(__xludf.dummyfunction("""COMPUTED_VALUE"""),"26022181466")</f>
        <v>26022181466</v>
      </c>
      <c r="J126" s="3" t="str">
        <f>IFERROR(__xludf.dummyfunction("""COMPUTED_VALUE"""),"03/02/2026 12:10:55")</f>
        <v>03/02/2026 12:10:55</v>
      </c>
      <c r="K126" s="3" t="str">
        <f>IFERROR(__xludf.dummyfunction("""COMPUTED_VALUE"""),"ELIAS BENJAMIN MIGUEL FERREIRA NACIMENTO")</f>
        <v>ELIAS BENJAMIN MIGUEL FERREIRA NACIMENTO</v>
      </c>
      <c r="L126" s="146" t="str">
        <f>IFERROR(__xludf.dummyfunction("""COMPUTED_VALUE"""),"001.108.114-70")</f>
        <v>001.108.114-70</v>
      </c>
      <c r="M126" s="146" t="str">
        <f>IFERROR(__xludf.dummyfunction("""COMPUTED_VALUE"""),"11/11/2023")</f>
        <v>11/11/2023</v>
      </c>
      <c r="N126" s="3"/>
      <c r="O126" s="3" t="str">
        <f>IFERROR(__xludf.dummyfunction("""COMPUTED_VALUE"""),"0")</f>
        <v>0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hidden="1" customHeight="1" spans="1:29">
      <c r="A127" s="3"/>
      <c r="B127" s="3" t="str">
        <f t="array" ref="B127">_xlfn.XLOOKUP(D127,Tabela_Dados_Esc_JAB_2026[INEP],Tabela_Dados_Esc_JAB_2026[REGIONAL],"NE",0)</f>
        <v>REGIONAL 5</v>
      </c>
      <c r="C127" s="4" t="str">
        <f>IFERROR(__xludf.dummyfunction("""COMPUTED_VALUE"""),"CEMEI PROFESSORA LINDOMAR DOMINGOS DA SILVA ANJOS")</f>
        <v>CEMEI PROFESSORA LINDOMAR DOMINGOS DA SILVA ANJOS</v>
      </c>
      <c r="D127" s="3" t="str">
        <f>IFERROR(__xludf.dummyfunction("""COMPUTED_VALUE"""),"26191296")</f>
        <v>26191296</v>
      </c>
      <c r="E127" s="3" t="str">
        <f>IFERROR(__xludf.dummyfunction("""COMPUTED_VALUE"""),"INFANTIL 2")</f>
        <v>INFANTIL 2</v>
      </c>
      <c r="F127" s="3" t="str">
        <f>IFERROR(__xludf.dummyfunction("""COMPUTED_VALUE"""),"Integral")</f>
        <v>Integral</v>
      </c>
      <c r="G127" s="3" t="str">
        <f>IFERROR(__xludf.dummyfunction("""COMPUTED_VALUE"""),"Comum")</f>
        <v>Comum</v>
      </c>
      <c r="H127" s="3" t="str">
        <f>IFERROR(__xludf.dummyfunction("""COMPUTED_VALUE"""),"17")</f>
        <v>17</v>
      </c>
      <c r="I127" s="145" t="str">
        <f>IFERROR(__xludf.dummyfunction("""COMPUTED_VALUE"""),"26022483885")</f>
        <v>26022483885</v>
      </c>
      <c r="J127" s="3" t="str">
        <f>IFERROR(__xludf.dummyfunction("""COMPUTED_VALUE"""),"03/02/2026 19:19:03")</f>
        <v>03/02/2026 19:19:03</v>
      </c>
      <c r="K127" s="3" t="str">
        <f>IFERROR(__xludf.dummyfunction("""COMPUTED_VALUE"""),"AYLLA ELOÁ VITÓRIA DA SILVA")</f>
        <v>AYLLA ELOÁ VITÓRIA DA SILVA</v>
      </c>
      <c r="L127" s="146" t="str">
        <f>IFERROR(__xludf.dummyfunction("""COMPUTED_VALUE"""),"185.751.114-00")</f>
        <v>185.751.114-00</v>
      </c>
      <c r="M127" s="146" t="str">
        <f>IFERROR(__xludf.dummyfunction("""COMPUTED_VALUE"""),"22/06/2023")</f>
        <v>22/06/2023</v>
      </c>
      <c r="N127" s="3"/>
      <c r="O127" s="3" t="str">
        <f>IFERROR(__xludf.dummyfunction("""COMPUTED_VALUE"""),"0")</f>
        <v>0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hidden="1" customHeight="1" spans="1:29">
      <c r="A128" s="3"/>
      <c r="B128" s="3" t="str">
        <f t="array" ref="B128">_xlfn.XLOOKUP(D128,Tabela_Dados_Esc_JAB_2026[INEP],Tabela_Dados_Esc_JAB_2026[REGIONAL],"NE",0)</f>
        <v>REGIONAL 5</v>
      </c>
      <c r="C128" s="4" t="str">
        <f>IFERROR(__xludf.dummyfunction("""COMPUTED_VALUE"""),"CEMEI PROFESSORA LINDOMAR DOMINGOS DA SILVA ANJOS")</f>
        <v>CEMEI PROFESSORA LINDOMAR DOMINGOS DA SILVA ANJOS</v>
      </c>
      <c r="D128" s="3" t="str">
        <f>IFERROR(__xludf.dummyfunction("""COMPUTED_VALUE"""),"26191296")</f>
        <v>26191296</v>
      </c>
      <c r="E128" s="3" t="str">
        <f>IFERROR(__xludf.dummyfunction("""COMPUTED_VALUE"""),"INFANTIL 2")</f>
        <v>INFANTIL 2</v>
      </c>
      <c r="F128" s="3" t="str">
        <f>IFERROR(__xludf.dummyfunction("""COMPUTED_VALUE"""),"Integral")</f>
        <v>Integral</v>
      </c>
      <c r="G128" s="3" t="str">
        <f>IFERROR(__xludf.dummyfunction("""COMPUTED_VALUE"""),"Comum")</f>
        <v>Comum</v>
      </c>
      <c r="H128" s="3" t="str">
        <f>IFERROR(__xludf.dummyfunction("""COMPUTED_VALUE"""),"18")</f>
        <v>18</v>
      </c>
      <c r="I128" s="145" t="str">
        <f>IFERROR(__xludf.dummyfunction("""COMPUTED_VALUE"""),"26022375442")</f>
        <v>26022375442</v>
      </c>
      <c r="J128" s="3" t="str">
        <f>IFERROR(__xludf.dummyfunction("""COMPUTED_VALUE"""),"04/02/2026 09:54:58")</f>
        <v>04/02/2026 09:54:58</v>
      </c>
      <c r="K128" s="3" t="str">
        <f>IFERROR(__xludf.dummyfunction("""COMPUTED_VALUE"""),"ANTHONY MIGUEL MEDEIROS DE LIMA")</f>
        <v>ANTHONY MIGUEL MEDEIROS DE LIMA</v>
      </c>
      <c r="L128" s="146" t="str">
        <f>IFERROR(__xludf.dummyfunction("""COMPUTED_VALUE"""),"186.252.964-75")</f>
        <v>186.252.964-75</v>
      </c>
      <c r="M128" s="146" t="str">
        <f>IFERROR(__xludf.dummyfunction("""COMPUTED_VALUE"""),"11/07/2023")</f>
        <v>11/07/2023</v>
      </c>
      <c r="N128" s="3"/>
      <c r="O128" s="3" t="str">
        <f>IFERROR(__xludf.dummyfunction("""COMPUTED_VALUE"""),"0")</f>
        <v>0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hidden="1" customHeight="1" spans="1:29">
      <c r="A129" s="3"/>
      <c r="B129" s="3" t="str">
        <f t="array" ref="B129">_xlfn.XLOOKUP(D129,Tabela_Dados_Esc_JAB_2026[INEP],Tabela_Dados_Esc_JAB_2026[REGIONAL],"NE",0)</f>
        <v>REGIONAL 5</v>
      </c>
      <c r="C129" s="4" t="str">
        <f>IFERROR(__xludf.dummyfunction("""COMPUTED_VALUE"""),"CEMEI PROFESSORA LINDOMAR DOMINGOS DA SILVA ANJOS")</f>
        <v>CEMEI PROFESSORA LINDOMAR DOMINGOS DA SILVA ANJOS</v>
      </c>
      <c r="D129" s="3" t="str">
        <f>IFERROR(__xludf.dummyfunction("""COMPUTED_VALUE"""),"26191296")</f>
        <v>26191296</v>
      </c>
      <c r="E129" s="3" t="str">
        <f>IFERROR(__xludf.dummyfunction("""COMPUTED_VALUE"""),"INFANTIL 2")</f>
        <v>INFANTIL 2</v>
      </c>
      <c r="F129" s="3" t="str">
        <f>IFERROR(__xludf.dummyfunction("""COMPUTED_VALUE"""),"Integral")</f>
        <v>Integral</v>
      </c>
      <c r="G129" s="3" t="str">
        <f>IFERROR(__xludf.dummyfunction("""COMPUTED_VALUE"""),"Comum")</f>
        <v>Comum</v>
      </c>
      <c r="H129" s="3" t="str">
        <f>IFERROR(__xludf.dummyfunction("""COMPUTED_VALUE"""),"19")</f>
        <v>19</v>
      </c>
      <c r="I129" s="145" t="str">
        <f>IFERROR(__xludf.dummyfunction("""COMPUTED_VALUE"""),"26022391237")</f>
        <v>26022391237</v>
      </c>
      <c r="J129" s="3" t="str">
        <f>IFERROR(__xludf.dummyfunction("""COMPUTED_VALUE"""),"04/02/2026 12:41:36")</f>
        <v>04/02/2026 12:41:36</v>
      </c>
      <c r="K129" s="3" t="str">
        <f>IFERROR(__xludf.dummyfunction("""COMPUTED_VALUE"""),"ISAAC RAFAEL DA SILVA")</f>
        <v>ISAAC RAFAEL DA SILVA</v>
      </c>
      <c r="L129" s="146" t="str">
        <f>IFERROR(__xludf.dummyfunction("""COMPUTED_VALUE"""),"185.156.394-67")</f>
        <v>185.156.394-67</v>
      </c>
      <c r="M129" s="146" t="str">
        <f>IFERROR(__xludf.dummyfunction("""COMPUTED_VALUE"""),"17/04/2023")</f>
        <v>17/04/2023</v>
      </c>
      <c r="N129" s="3"/>
      <c r="O129" s="3" t="str">
        <f>IFERROR(__xludf.dummyfunction("""COMPUTED_VALUE"""),"0")</f>
        <v>0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hidden="1" customHeight="1" spans="1:29">
      <c r="A130" s="3"/>
      <c r="B130" s="3" t="str">
        <f t="array" ref="B130">_xlfn.XLOOKUP(D130,Tabela_Dados_Esc_JAB_2026[INEP],Tabela_Dados_Esc_JAB_2026[REGIONAL],"NE",0)</f>
        <v>REGIONAL 5</v>
      </c>
      <c r="C130" s="4" t="str">
        <f>IFERROR(__xludf.dummyfunction("""COMPUTED_VALUE"""),"CEMEI PROFESSORA LINDOMAR DOMINGOS DA SILVA ANJOS")</f>
        <v>CEMEI PROFESSORA LINDOMAR DOMINGOS DA SILVA ANJOS</v>
      </c>
      <c r="D130" s="3" t="str">
        <f>IFERROR(__xludf.dummyfunction("""COMPUTED_VALUE"""),"26191296")</f>
        <v>26191296</v>
      </c>
      <c r="E130" s="3" t="str">
        <f>IFERROR(__xludf.dummyfunction("""COMPUTED_VALUE"""),"INFANTIL 2")</f>
        <v>INFANTIL 2</v>
      </c>
      <c r="F130" s="3" t="str">
        <f>IFERROR(__xludf.dummyfunction("""COMPUTED_VALUE"""),"Integral")</f>
        <v>Integral</v>
      </c>
      <c r="G130" s="3" t="str">
        <f>IFERROR(__xludf.dummyfunction("""COMPUTED_VALUE"""),"Comum")</f>
        <v>Comum</v>
      </c>
      <c r="H130" s="3" t="str">
        <f>IFERROR(__xludf.dummyfunction("""COMPUTED_VALUE"""),"20")</f>
        <v>20</v>
      </c>
      <c r="I130" s="145" t="str">
        <f>IFERROR(__xludf.dummyfunction("""COMPUTED_VALUE"""),"26022467088")</f>
        <v>26022467088</v>
      </c>
      <c r="J130" s="3" t="str">
        <f>IFERROR(__xludf.dummyfunction("""COMPUTED_VALUE"""),"04/02/2026 15:23:58")</f>
        <v>04/02/2026 15:23:58</v>
      </c>
      <c r="K130" s="3" t="str">
        <f>IFERROR(__xludf.dummyfunction("""COMPUTED_VALUE"""),"CALEB RAFAEL LOPES DOS SANTOS")</f>
        <v>CALEB RAFAEL LOPES DOS SANTOS</v>
      </c>
      <c r="L130" s="146" t="str">
        <f>IFERROR(__xludf.dummyfunction("""COMPUTED_VALUE"""),"185.570.964-37")</f>
        <v>185.570.964-37</v>
      </c>
      <c r="M130" s="146" t="str">
        <f>IFERROR(__xludf.dummyfunction("""COMPUTED_VALUE"""),"05/06/2023")</f>
        <v>05/06/2023</v>
      </c>
      <c r="N130" s="3"/>
      <c r="O130" s="3" t="str">
        <f>IFERROR(__xludf.dummyfunction("""COMPUTED_VALUE"""),"0")</f>
        <v>0</v>
      </c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hidden="1" customHeight="1" spans="1:29">
      <c r="A131" s="3"/>
      <c r="B131" s="3" t="str">
        <f t="array" ref="B131">_xlfn.XLOOKUP(D131,Tabela_Dados_Esc_JAB_2026[INEP],Tabela_Dados_Esc_JAB_2026[REGIONAL],"NE",0)</f>
        <v>REGIONAL 5</v>
      </c>
      <c r="C131" s="4" t="str">
        <f>IFERROR(__xludf.dummyfunction("""COMPUTED_VALUE"""),"CEMEI PROFESSORA LINDOMAR DOMINGOS DA SILVA ANJOS")</f>
        <v>CEMEI PROFESSORA LINDOMAR DOMINGOS DA SILVA ANJOS</v>
      </c>
      <c r="D131" s="3" t="str">
        <f>IFERROR(__xludf.dummyfunction("""COMPUTED_VALUE"""),"26191296")</f>
        <v>26191296</v>
      </c>
      <c r="E131" s="3" t="str">
        <f>IFERROR(__xludf.dummyfunction("""COMPUTED_VALUE"""),"INFANTIL 2")</f>
        <v>INFANTIL 2</v>
      </c>
      <c r="F131" s="3" t="str">
        <f>IFERROR(__xludf.dummyfunction("""COMPUTED_VALUE"""),"Integral")</f>
        <v>Integral</v>
      </c>
      <c r="G131" s="3" t="str">
        <f>IFERROR(__xludf.dummyfunction("""COMPUTED_VALUE"""),"Comum")</f>
        <v>Comum</v>
      </c>
      <c r="H131" s="3" t="str">
        <f>IFERROR(__xludf.dummyfunction("""COMPUTED_VALUE"""),"21")</f>
        <v>21</v>
      </c>
      <c r="I131" s="145" t="str">
        <f>IFERROR(__xludf.dummyfunction("""COMPUTED_VALUE"""),"26022048043")</f>
        <v>26022048043</v>
      </c>
      <c r="J131" s="3" t="str">
        <f>IFERROR(__xludf.dummyfunction("""COMPUTED_VALUE"""),"05/02/2026 16:07:06")</f>
        <v>05/02/2026 16:07:06</v>
      </c>
      <c r="K131" s="3" t="str">
        <f>IFERROR(__xludf.dummyfunction("""COMPUTED_VALUE"""),"CLARISSE RENATA MIGUEL AZEVEDO DE ALMEIDA")</f>
        <v>CLARISSE RENATA MIGUEL AZEVEDO DE ALMEIDA</v>
      </c>
      <c r="L131" s="146" t="str">
        <f>IFERROR(__xludf.dummyfunction("""COMPUTED_VALUE"""),"186.226.954-84")</f>
        <v>186.226.954-84</v>
      </c>
      <c r="M131" s="146" t="str">
        <f>IFERROR(__xludf.dummyfunction("""COMPUTED_VALUE"""),"11/08/2023")</f>
        <v>11/08/2023</v>
      </c>
      <c r="N131" s="3"/>
      <c r="O131" s="3" t="str">
        <f>IFERROR(__xludf.dummyfunction("""COMPUTED_VALUE"""),"0")</f>
        <v>0</v>
      </c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hidden="1" customHeight="1" spans="1:29">
      <c r="A132" s="3"/>
      <c r="B132" s="3" t="str">
        <f t="array" ref="B132">_xlfn.XLOOKUP(D132,Tabela_Dados_Esc_JAB_2026[INEP],Tabela_Dados_Esc_JAB_2026[REGIONAL],"NE",0)</f>
        <v>REGIONAL 5</v>
      </c>
      <c r="C132" s="4" t="str">
        <f>IFERROR(__xludf.dummyfunction("""COMPUTED_VALUE"""),"CEMEI PROFESSORA LINDOMAR DOMINGOS DA SILVA ANJOS")</f>
        <v>CEMEI PROFESSORA LINDOMAR DOMINGOS DA SILVA ANJOS</v>
      </c>
      <c r="D132" s="3" t="str">
        <f>IFERROR(__xludf.dummyfunction("""COMPUTED_VALUE"""),"26191296")</f>
        <v>26191296</v>
      </c>
      <c r="E132" s="3" t="str">
        <f>IFERROR(__xludf.dummyfunction("""COMPUTED_VALUE"""),"INFANTIL 2")</f>
        <v>INFANTIL 2</v>
      </c>
      <c r="F132" s="3" t="str">
        <f>IFERROR(__xludf.dummyfunction("""COMPUTED_VALUE"""),"Integral")</f>
        <v>Integral</v>
      </c>
      <c r="G132" s="3" t="str">
        <f>IFERROR(__xludf.dummyfunction("""COMPUTED_VALUE"""),"Comum")</f>
        <v>Comum</v>
      </c>
      <c r="H132" s="3" t="str">
        <f>IFERROR(__xludf.dummyfunction("""COMPUTED_VALUE"""),"22")</f>
        <v>22</v>
      </c>
      <c r="I132" s="145" t="str">
        <f>IFERROR(__xludf.dummyfunction("""COMPUTED_VALUE"""),"26022357979")</f>
        <v>26022357979</v>
      </c>
      <c r="J132" s="3" t="str">
        <f>IFERROR(__xludf.dummyfunction("""COMPUTED_VALUE"""),"09/02/2026 09:40:47")</f>
        <v>09/02/2026 09:40:47</v>
      </c>
      <c r="K132" s="3" t="str">
        <f>IFERROR(__xludf.dummyfunction("""COMPUTED_VALUE"""),"MARIA CECÍLIA DA SILVA")</f>
        <v>MARIA CECÍLIA DA SILVA</v>
      </c>
      <c r="L132" s="146" t="str">
        <f>IFERROR(__xludf.dummyfunction("""COMPUTED_VALUE"""),"001.740.454-17")</f>
        <v>001.740.454-17</v>
      </c>
      <c r="M132" s="146" t="str">
        <f>IFERROR(__xludf.dummyfunction("""COMPUTED_VALUE"""),"26/01/2024")</f>
        <v>26/01/2024</v>
      </c>
      <c r="N132" s="3"/>
      <c r="O132" s="3" t="str">
        <f>IFERROR(__xludf.dummyfunction("""COMPUTED_VALUE"""),"0")</f>
        <v>0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hidden="1" customHeight="1" spans="1:29">
      <c r="A133" s="3"/>
      <c r="B133" s="3" t="str">
        <f t="array" ref="B133">_xlfn.XLOOKUP(D133,Tabela_Dados_Esc_JAB_2026[INEP],Tabela_Dados_Esc_JAB_2026[REGIONAL],"NE",0)</f>
        <v>REGIONAL 5</v>
      </c>
      <c r="C133" s="4" t="str">
        <f>IFERROR(__xludf.dummyfunction("""COMPUTED_VALUE"""),"CEMEI PROFESSORA LINDOMAR DOMINGOS DA SILVA ANJOS")</f>
        <v>CEMEI PROFESSORA LINDOMAR DOMINGOS DA SILVA ANJOS</v>
      </c>
      <c r="D133" s="3" t="str">
        <f>IFERROR(__xludf.dummyfunction("""COMPUTED_VALUE"""),"26191296")</f>
        <v>26191296</v>
      </c>
      <c r="E133" s="3" t="str">
        <f>IFERROR(__xludf.dummyfunction("""COMPUTED_VALUE"""),"INFANTIL 2")</f>
        <v>INFANTIL 2</v>
      </c>
      <c r="F133" s="3" t="str">
        <f>IFERROR(__xludf.dummyfunction("""COMPUTED_VALUE"""),"Integral")</f>
        <v>Integral</v>
      </c>
      <c r="G133" s="3" t="str">
        <f>IFERROR(__xludf.dummyfunction("""COMPUTED_VALUE"""),"Comum")</f>
        <v>Comum</v>
      </c>
      <c r="H133" s="3" t="str">
        <f>IFERROR(__xludf.dummyfunction("""COMPUTED_VALUE"""),"23")</f>
        <v>23</v>
      </c>
      <c r="I133" s="145" t="str">
        <f>IFERROR(__xludf.dummyfunction("""COMPUTED_VALUE"""),"26022515763")</f>
        <v>26022515763</v>
      </c>
      <c r="J133" s="3" t="str">
        <f>IFERROR(__xludf.dummyfunction("""COMPUTED_VALUE"""),"10/02/2026 07:55:39")</f>
        <v>10/02/2026 07:55:39</v>
      </c>
      <c r="K133" s="3" t="str">
        <f>IFERROR(__xludf.dummyfunction("""COMPUTED_VALUE"""),"MIGUEL BARRETO GOMES")</f>
        <v>MIGUEL BARRETO GOMES</v>
      </c>
      <c r="L133" s="146" t="str">
        <f>IFERROR(__xludf.dummyfunction("""COMPUTED_VALUE"""),"001.204.304-44")</f>
        <v>001.204.304-44</v>
      </c>
      <c r="M133" s="146" t="str">
        <f>IFERROR(__xludf.dummyfunction("""COMPUTED_VALUE"""),"07/12/2023")</f>
        <v>07/12/2023</v>
      </c>
      <c r="N133" s="3"/>
      <c r="O133" s="3" t="str">
        <f>IFERROR(__xludf.dummyfunction("""COMPUTED_VALUE"""),"0")</f>
        <v>0</v>
      </c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hidden="1" customHeight="1" spans="1:29">
      <c r="A134" s="3"/>
      <c r="B134" s="3" t="str">
        <f t="array" ref="B134">_xlfn.XLOOKUP(D134,Tabela_Dados_Esc_JAB_2026[INEP],Tabela_Dados_Esc_JAB_2026[REGIONAL],"NE",0)</f>
        <v>REGIONAL 5</v>
      </c>
      <c r="C134" s="4" t="str">
        <f>IFERROR(__xludf.dummyfunction("""COMPUTED_VALUE"""),"CEMEI PROFESSORA LINDOMAR DOMINGOS DA SILVA ANJOS")</f>
        <v>CEMEI PROFESSORA LINDOMAR DOMINGOS DA SILVA ANJOS</v>
      </c>
      <c r="D134" s="3" t="str">
        <f>IFERROR(__xludf.dummyfunction("""COMPUTED_VALUE"""),"26191296")</f>
        <v>26191296</v>
      </c>
      <c r="E134" s="3" t="str">
        <f>IFERROR(__xludf.dummyfunction("""COMPUTED_VALUE"""),"INFANTIL 2")</f>
        <v>INFANTIL 2</v>
      </c>
      <c r="F134" s="3" t="str">
        <f>IFERROR(__xludf.dummyfunction("""COMPUTED_VALUE"""),"Integral")</f>
        <v>Integral</v>
      </c>
      <c r="G134" s="3" t="str">
        <f>IFERROR(__xludf.dummyfunction("""COMPUTED_VALUE"""),"Comum")</f>
        <v>Comum</v>
      </c>
      <c r="H134" s="3" t="str">
        <f>IFERROR(__xludf.dummyfunction("""COMPUTED_VALUE"""),"24")</f>
        <v>24</v>
      </c>
      <c r="I134" s="145" t="str">
        <f>IFERROR(__xludf.dummyfunction("""COMPUTED_VALUE"""),"26022346097")</f>
        <v>26022346097</v>
      </c>
      <c r="J134" s="3" t="str">
        <f>IFERROR(__xludf.dummyfunction("""COMPUTED_VALUE"""),"10/02/2026 08:09:08")</f>
        <v>10/02/2026 08:09:08</v>
      </c>
      <c r="K134" s="3" t="str">
        <f>IFERROR(__xludf.dummyfunction("""COMPUTED_VALUE"""),"GAEL LEVI MARQUES DE LIMA")</f>
        <v>GAEL LEVI MARQUES DE LIMA</v>
      </c>
      <c r="L134" s="146" t="str">
        <f>IFERROR(__xludf.dummyfunction("""COMPUTED_VALUE"""),"185.616.944-83")</f>
        <v>185.616.944-83</v>
      </c>
      <c r="M134" s="146" t="str">
        <f>IFERROR(__xludf.dummyfunction("""COMPUTED_VALUE"""),"08/06/2023")</f>
        <v>08/06/2023</v>
      </c>
      <c r="N134" s="3"/>
      <c r="O134" s="3" t="str">
        <f>IFERROR(__xludf.dummyfunction("""COMPUTED_VALUE"""),"0")</f>
        <v>0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hidden="1" customHeight="1" spans="1:29">
      <c r="A135" s="3"/>
      <c r="B135" s="3" t="str">
        <f t="array" ref="B135">_xlfn.XLOOKUP(D135,Tabela_Dados_Esc_JAB_2026[INEP],Tabela_Dados_Esc_JAB_2026[REGIONAL],"NE",0)</f>
        <v>REGIONAL 5</v>
      </c>
      <c r="C135" s="4" t="str">
        <f>IFERROR(__xludf.dummyfunction("""COMPUTED_VALUE"""),"CEMEI PROFESSORA LINDOMAR DOMINGOS DA SILVA ANJOS")</f>
        <v>CEMEI PROFESSORA LINDOMAR DOMINGOS DA SILVA ANJOS</v>
      </c>
      <c r="D135" s="3" t="str">
        <f>IFERROR(__xludf.dummyfunction("""COMPUTED_VALUE"""),"26191296")</f>
        <v>26191296</v>
      </c>
      <c r="E135" s="3" t="str">
        <f>IFERROR(__xludf.dummyfunction("""COMPUTED_VALUE"""),"INFANTIL 2")</f>
        <v>INFANTIL 2</v>
      </c>
      <c r="F135" s="3" t="str">
        <f>IFERROR(__xludf.dummyfunction("""COMPUTED_VALUE"""),"Integral")</f>
        <v>Integral</v>
      </c>
      <c r="G135" s="3" t="str">
        <f>IFERROR(__xludf.dummyfunction("""COMPUTED_VALUE"""),"Comum")</f>
        <v>Comum</v>
      </c>
      <c r="H135" s="3" t="str">
        <f>IFERROR(__xludf.dummyfunction("""COMPUTED_VALUE"""),"25")</f>
        <v>25</v>
      </c>
      <c r="I135" s="145" t="str">
        <f>IFERROR(__xludf.dummyfunction("""COMPUTED_VALUE"""),"26022325987")</f>
        <v>26022325987</v>
      </c>
      <c r="J135" s="3" t="str">
        <f>IFERROR(__xludf.dummyfunction("""COMPUTED_VALUE"""),"10/02/2026 11:18:19")</f>
        <v>10/02/2026 11:18:19</v>
      </c>
      <c r="K135" s="3" t="str">
        <f>IFERROR(__xludf.dummyfunction("""COMPUTED_VALUE"""),"JAERLLYSON JOSUE ANDRADE DA SILVA")</f>
        <v>JAERLLYSON JOSUE ANDRADE DA SILVA</v>
      </c>
      <c r="L135" s="146" t="str">
        <f>IFERROR(__xludf.dummyfunction("""COMPUTED_VALUE"""),"185.899.144-70")</f>
        <v>185.899.144-70</v>
      </c>
      <c r="M135" s="146" t="str">
        <f>IFERROR(__xludf.dummyfunction("""COMPUTED_VALUE"""),"05/07/2023")</f>
        <v>05/07/2023</v>
      </c>
      <c r="N135" s="3"/>
      <c r="O135" s="3" t="str">
        <f>IFERROR(__xludf.dummyfunction("""COMPUTED_VALUE"""),"0")</f>
        <v>0</v>
      </c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hidden="1" customHeight="1" spans="1:29">
      <c r="A136" s="3"/>
      <c r="B136" s="3" t="str">
        <f t="array" ref="B136">_xlfn.XLOOKUP(D136,Tabela_Dados_Esc_JAB_2026[INEP],Tabela_Dados_Esc_JAB_2026[REGIONAL],"NE",0)</f>
        <v>REGIONAL 5</v>
      </c>
      <c r="C136" s="4" t="str">
        <f>IFERROR(__xludf.dummyfunction("""COMPUTED_VALUE"""),"CEMEI PROFESSORA LINDOMAR DOMINGOS DA SILVA ANJOS")</f>
        <v>CEMEI PROFESSORA LINDOMAR DOMINGOS DA SILVA ANJOS</v>
      </c>
      <c r="D136" s="3" t="str">
        <f>IFERROR(__xludf.dummyfunction("""COMPUTED_VALUE"""),"26191296")</f>
        <v>26191296</v>
      </c>
      <c r="E136" s="3" t="str">
        <f>IFERROR(__xludf.dummyfunction("""COMPUTED_VALUE"""),"INFANTIL 2")</f>
        <v>INFANTIL 2</v>
      </c>
      <c r="F136" s="3" t="str">
        <f>IFERROR(__xludf.dummyfunction("""COMPUTED_VALUE"""),"Integral")</f>
        <v>Integral</v>
      </c>
      <c r="G136" s="3" t="str">
        <f>IFERROR(__xludf.dummyfunction("""COMPUTED_VALUE"""),"Comum")</f>
        <v>Comum</v>
      </c>
      <c r="H136" s="3" t="str">
        <f>IFERROR(__xludf.dummyfunction("""COMPUTED_VALUE"""),"26")</f>
        <v>26</v>
      </c>
      <c r="I136" s="145" t="str">
        <f>IFERROR(__xludf.dummyfunction("""COMPUTED_VALUE"""),"26022567663")</f>
        <v>26022567663</v>
      </c>
      <c r="J136" s="3" t="str">
        <f>IFERROR(__xludf.dummyfunction("""COMPUTED_VALUE"""),"11/02/2026 13:53:52")</f>
        <v>11/02/2026 13:53:52</v>
      </c>
      <c r="K136" s="3" t="str">
        <f>IFERROR(__xludf.dummyfunction("""COMPUTED_VALUE"""),"YARA MELISSA VALENTINA DA SILVA NEVES")</f>
        <v>YARA MELISSA VALENTINA DA SILVA NEVES</v>
      </c>
      <c r="L136" s="146" t="str">
        <f>IFERROR(__xludf.dummyfunction("""COMPUTED_VALUE"""),"000.986.854-22")</f>
        <v>000.986.854-22</v>
      </c>
      <c r="M136" s="146" t="str">
        <f>IFERROR(__xludf.dummyfunction("""COMPUTED_VALUE"""),"10/11/2023")</f>
        <v>10/11/2023</v>
      </c>
      <c r="N136" s="3"/>
      <c r="O136" s="3" t="str">
        <f>IFERROR(__xludf.dummyfunction("""COMPUTED_VALUE"""),"0")</f>
        <v>0</v>
      </c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hidden="1" customHeight="1" spans="1:29">
      <c r="A137" s="3"/>
      <c r="B137" s="3" t="str">
        <f t="array" ref="B137">_xlfn.XLOOKUP(D137,Tabela_Dados_Esc_JAB_2026[INEP],Tabela_Dados_Esc_JAB_2026[REGIONAL],"NE",0)</f>
        <v>REGIONAL 5</v>
      </c>
      <c r="C137" s="4" t="str">
        <f>IFERROR(__xludf.dummyfunction("""COMPUTED_VALUE"""),"CEMEI PROFESSORA LINDOMAR DOMINGOS DA SILVA ANJOS")</f>
        <v>CEMEI PROFESSORA LINDOMAR DOMINGOS DA SILVA ANJOS</v>
      </c>
      <c r="D137" s="3" t="str">
        <f>IFERROR(__xludf.dummyfunction("""COMPUTED_VALUE"""),"26191296")</f>
        <v>26191296</v>
      </c>
      <c r="E137" s="3" t="str">
        <f>IFERROR(__xludf.dummyfunction("""COMPUTED_VALUE"""),"INFANTIL 2")</f>
        <v>INFANTIL 2</v>
      </c>
      <c r="F137" s="3" t="str">
        <f>IFERROR(__xludf.dummyfunction("""COMPUTED_VALUE"""),"Integral")</f>
        <v>Integral</v>
      </c>
      <c r="G137" s="3" t="str">
        <f>IFERROR(__xludf.dummyfunction("""COMPUTED_VALUE"""),"Comum")</f>
        <v>Comum</v>
      </c>
      <c r="H137" s="3" t="str">
        <f>IFERROR(__xludf.dummyfunction("""COMPUTED_VALUE"""),"27")</f>
        <v>27</v>
      </c>
      <c r="I137" s="145" t="str">
        <f>IFERROR(__xludf.dummyfunction("""COMPUTED_VALUE"""),"26022411139")</f>
        <v>26022411139</v>
      </c>
      <c r="J137" s="3" t="str">
        <f>IFERROR(__xludf.dummyfunction("""COMPUTED_VALUE"""),"19/02/2026 09:30:52")</f>
        <v>19/02/2026 09:30:52</v>
      </c>
      <c r="K137" s="3" t="str">
        <f>IFERROR(__xludf.dummyfunction("""COMPUTED_VALUE"""),"BEN DE SOUZA FRANCISCO")</f>
        <v>BEN DE SOUZA FRANCISCO</v>
      </c>
      <c r="L137" s="146" t="str">
        <f>IFERROR(__xludf.dummyfunction("""COMPUTED_VALUE"""),"185.296.954-70")</f>
        <v>185.296.954-70</v>
      </c>
      <c r="M137" s="146" t="str">
        <f>IFERROR(__xludf.dummyfunction("""COMPUTED_VALUE"""),"25/04/2023")</f>
        <v>25/04/2023</v>
      </c>
      <c r="N137" s="3"/>
      <c r="O137" s="3" t="str">
        <f>IFERROR(__xludf.dummyfunction("""COMPUTED_VALUE"""),"0")</f>
        <v>0</v>
      </c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hidden="1" customHeight="1" spans="1:29">
      <c r="A138" s="3"/>
      <c r="B138" s="3" t="str">
        <f t="array" ref="B138">_xlfn.XLOOKUP(D138,Tabela_Dados_Esc_JAB_2026[INEP],Tabela_Dados_Esc_JAB_2026[REGIONAL],"NE",0)</f>
        <v>REGIONAL 5</v>
      </c>
      <c r="C138" s="4" t="str">
        <f>IFERROR(__xludf.dummyfunction("""COMPUTED_VALUE"""),"CEMEI PROFESSORA LINDOMAR DOMINGOS DA SILVA ANJOS")</f>
        <v>CEMEI PROFESSORA LINDOMAR DOMINGOS DA SILVA ANJOS</v>
      </c>
      <c r="D138" s="3" t="str">
        <f>IFERROR(__xludf.dummyfunction("""COMPUTED_VALUE"""),"26191296")</f>
        <v>26191296</v>
      </c>
      <c r="E138" s="3" t="str">
        <f>IFERROR(__xludf.dummyfunction("""COMPUTED_VALUE"""),"INFANTIL 2")</f>
        <v>INFANTIL 2</v>
      </c>
      <c r="F138" s="3" t="str">
        <f>IFERROR(__xludf.dummyfunction("""COMPUTED_VALUE"""),"Integral")</f>
        <v>Integral</v>
      </c>
      <c r="G138" s="3" t="str">
        <f>IFERROR(__xludf.dummyfunction("""COMPUTED_VALUE"""),"Comum")</f>
        <v>Comum</v>
      </c>
      <c r="H138" s="3" t="str">
        <f>IFERROR(__xludf.dummyfunction("""COMPUTED_VALUE"""),"28")</f>
        <v>28</v>
      </c>
      <c r="I138" s="145" t="str">
        <f>IFERROR(__xludf.dummyfunction("""COMPUTED_VALUE"""),"26032002382")</f>
        <v>26032002382</v>
      </c>
      <c r="J138" s="3" t="str">
        <f>IFERROR(__xludf.dummyfunction("""COMPUTED_VALUE"""),"03/03/2026 12:02:06")</f>
        <v>03/03/2026 12:02:06</v>
      </c>
      <c r="K138" s="3" t="str">
        <f>IFERROR(__xludf.dummyfunction("""COMPUTED_VALUE"""),"HEITOR BEZERRA DA SILVA")</f>
        <v>HEITOR BEZERRA DA SILVA</v>
      </c>
      <c r="L138" s="146" t="str">
        <f>IFERROR(__xludf.dummyfunction("""COMPUTED_VALUE"""),"185.815.174-04")</f>
        <v>185.815.174-04</v>
      </c>
      <c r="M138" s="146" t="str">
        <f>IFERROR(__xludf.dummyfunction("""COMPUTED_VALUE"""),"27/06/2023")</f>
        <v>27/06/2023</v>
      </c>
      <c r="N138" s="3"/>
      <c r="O138" s="3" t="str">
        <f>IFERROR(__xludf.dummyfunction("""COMPUTED_VALUE"""),"0")</f>
        <v>0</v>
      </c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hidden="1" customHeight="1" spans="1:29">
      <c r="A139" s="3"/>
      <c r="B139" s="3" t="str">
        <f t="array" ref="B139">_xlfn.XLOOKUP(D139,Tabela_Dados_Esc_JAB_2026[INEP],Tabela_Dados_Esc_JAB_2026[REGIONAL],"NE",0)</f>
        <v>REGIONAL 5</v>
      </c>
      <c r="C139" s="4" t="str">
        <f>IFERROR(__xludf.dummyfunction("""COMPUTED_VALUE"""),"CEMEI PROFESSORA LINDOMAR DOMINGOS DA SILVA ANJOS")</f>
        <v>CEMEI PROFESSORA LINDOMAR DOMINGOS DA SILVA ANJOS</v>
      </c>
      <c r="D139" s="3" t="str">
        <f>IFERROR(__xludf.dummyfunction("""COMPUTED_VALUE"""),"26191296")</f>
        <v>26191296</v>
      </c>
      <c r="E139" s="3" t="str">
        <f>IFERROR(__xludf.dummyfunction("""COMPUTED_VALUE"""),"INFANTIL 2")</f>
        <v>INFANTIL 2</v>
      </c>
      <c r="F139" s="3" t="str">
        <f>IFERROR(__xludf.dummyfunction("""COMPUTED_VALUE"""),"Integral")</f>
        <v>Integral</v>
      </c>
      <c r="G139" s="3" t="str">
        <f>IFERROR(__xludf.dummyfunction("""COMPUTED_VALUE"""),"Comum")</f>
        <v>Comum</v>
      </c>
      <c r="H139" s="3" t="str">
        <f>IFERROR(__xludf.dummyfunction("""COMPUTED_VALUE"""),"29")</f>
        <v>29</v>
      </c>
      <c r="I139" s="145" t="str">
        <f>IFERROR(__xludf.dummyfunction("""COMPUTED_VALUE"""),"26032341144")</f>
        <v>26032341144</v>
      </c>
      <c r="J139" s="3" t="str">
        <f>IFERROR(__xludf.dummyfunction("""COMPUTED_VALUE"""),"04/03/2026 07:55:35")</f>
        <v>04/03/2026 07:55:35</v>
      </c>
      <c r="K139" s="3" t="str">
        <f>IFERROR(__xludf.dummyfunction("""COMPUTED_VALUE"""),"ANTHONY GABRIEL PEREIRA DA SILVA")</f>
        <v>ANTHONY GABRIEL PEREIRA DA SILVA</v>
      </c>
      <c r="L139" s="146" t="str">
        <f>IFERROR(__xludf.dummyfunction("""COMPUTED_VALUE"""),"001.086.874-73")</f>
        <v>001.086.874-73</v>
      </c>
      <c r="M139" s="146" t="str">
        <f>IFERROR(__xludf.dummyfunction("""COMPUTED_VALUE"""),"16/11/2023")</f>
        <v>16/11/2023</v>
      </c>
      <c r="N139" s="3"/>
      <c r="O139" s="3" t="str">
        <f>IFERROR(__xludf.dummyfunction("""COMPUTED_VALUE"""),"0")</f>
        <v>0</v>
      </c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hidden="1" customHeight="1" spans="1:29">
      <c r="A140" s="3"/>
      <c r="B140" s="3" t="str">
        <f t="array" ref="B140">_xlfn.XLOOKUP(D140,Tabela_Dados_Esc_JAB_2026[INEP],Tabela_Dados_Esc_JAB_2026[REGIONAL],"NE",0)</f>
        <v>REGIONAL 5</v>
      </c>
      <c r="C140" s="4" t="str">
        <f>IFERROR(__xludf.dummyfunction("""COMPUTED_VALUE"""),"CEMEI PROFESSORA LINDOMAR DOMINGOS DA SILVA ANJOS")</f>
        <v>CEMEI PROFESSORA LINDOMAR DOMINGOS DA SILVA ANJOS</v>
      </c>
      <c r="D140" s="3" t="str">
        <f>IFERROR(__xludf.dummyfunction("""COMPUTED_VALUE"""),"26191296")</f>
        <v>26191296</v>
      </c>
      <c r="E140" s="3" t="str">
        <f>IFERROR(__xludf.dummyfunction("""COMPUTED_VALUE"""),"INFANTIL 2")</f>
        <v>INFANTIL 2</v>
      </c>
      <c r="F140" s="3" t="str">
        <f>IFERROR(__xludf.dummyfunction("""COMPUTED_VALUE"""),"Integral")</f>
        <v>Integral</v>
      </c>
      <c r="G140" s="3" t="str">
        <f>IFERROR(__xludf.dummyfunction("""COMPUTED_VALUE"""),"Comum")</f>
        <v>Comum</v>
      </c>
      <c r="H140" s="3" t="str">
        <f>IFERROR(__xludf.dummyfunction("""COMPUTED_VALUE"""),"30")</f>
        <v>30</v>
      </c>
      <c r="I140" s="145" t="str">
        <f>IFERROR(__xludf.dummyfunction("""COMPUTED_VALUE"""),"26032537108")</f>
        <v>26032537108</v>
      </c>
      <c r="J140" s="3" t="str">
        <f>IFERROR(__xludf.dummyfunction("""COMPUTED_VALUE"""),"12/03/2026 11:41:32")</f>
        <v>12/03/2026 11:41:32</v>
      </c>
      <c r="K140" s="3" t="str">
        <f>IFERROR(__xludf.dummyfunction("""COMPUTED_VALUE"""),"ANTHONY HENRIQUE SANTOS DA SILVA")</f>
        <v>ANTHONY HENRIQUE SANTOS DA SILVA</v>
      </c>
      <c r="L140" s="146" t="str">
        <f>IFERROR(__xludf.dummyfunction("""COMPUTED_VALUE"""),"186.598.194-03")</f>
        <v>186.598.194-03</v>
      </c>
      <c r="M140" s="146" t="str">
        <f>IFERROR(__xludf.dummyfunction("""COMPUTED_VALUE"""),"21/09/2023")</f>
        <v>21/09/2023</v>
      </c>
      <c r="N140" s="3"/>
      <c r="O140" s="3" t="str">
        <f>IFERROR(__xludf.dummyfunction("""COMPUTED_VALUE"""),"0")</f>
        <v>0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hidden="1" customHeight="1" spans="1:29">
      <c r="A141" s="3"/>
      <c r="B141" s="3" t="str">
        <f t="array" ref="B141">_xlfn.XLOOKUP(D141,Tabela_Dados_Esc_JAB_2026[INEP],Tabela_Dados_Esc_JAB_2026[REGIONAL],"NE",0)</f>
        <v>REGIONAL 5</v>
      </c>
      <c r="C141" s="4" t="str">
        <f>IFERROR(__xludf.dummyfunction("""COMPUTED_VALUE"""),"CEMEI PROFESSORA LINDOMAR DOMINGOS DA SILVA ANJOS")</f>
        <v>CEMEI PROFESSORA LINDOMAR DOMINGOS DA SILVA ANJOS</v>
      </c>
      <c r="D141" s="3" t="str">
        <f>IFERROR(__xludf.dummyfunction("""COMPUTED_VALUE"""),"26191296")</f>
        <v>26191296</v>
      </c>
      <c r="E141" s="3" t="str">
        <f>IFERROR(__xludf.dummyfunction("""COMPUTED_VALUE"""),"INFANTIL 2")</f>
        <v>INFANTIL 2</v>
      </c>
      <c r="F141" s="3" t="str">
        <f>IFERROR(__xludf.dummyfunction("""COMPUTED_VALUE"""),"Integral")</f>
        <v>Integral</v>
      </c>
      <c r="G141" s="3" t="str">
        <f>IFERROR(__xludf.dummyfunction("""COMPUTED_VALUE"""),"Comum")</f>
        <v>Comum</v>
      </c>
      <c r="H141" s="3" t="str">
        <f>IFERROR(__xludf.dummyfunction("""COMPUTED_VALUE"""),"31")</f>
        <v>31</v>
      </c>
      <c r="I141" s="145" t="str">
        <f>IFERROR(__xludf.dummyfunction("""COMPUTED_VALUE"""),"26042982355")</f>
        <v>26042982355</v>
      </c>
      <c r="J141" s="3" t="str">
        <f>IFERROR(__xludf.dummyfunction("""COMPUTED_VALUE"""),"25/04/2026 06:48:05")</f>
        <v>25/04/2026 06:48:05</v>
      </c>
      <c r="K141" s="3" t="str">
        <f>IFERROR(__xludf.dummyfunction("""COMPUTED_VALUE"""),"CECÍLIA MORAES DE ABREU")</f>
        <v>CECÍLIA MORAES DE ABREU</v>
      </c>
      <c r="L141" s="146" t="str">
        <f>IFERROR(__xludf.dummyfunction("""COMPUTED_VALUE"""),"000.222.764-91")</f>
        <v>000.222.764-91</v>
      </c>
      <c r="M141" s="146" t="str">
        <f>IFERROR(__xludf.dummyfunction("""COMPUTED_VALUE"""),"23/09/2023")</f>
        <v>23/09/2023</v>
      </c>
      <c r="N141" s="3"/>
      <c r="O141" s="3" t="str">
        <f>IFERROR(__xludf.dummyfunction("""COMPUTED_VALUE"""),"0")</f>
        <v>0</v>
      </c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hidden="1" customHeight="1" spans="1:29">
      <c r="A142" s="3"/>
      <c r="B142" s="3" t="str">
        <f t="array" ref="B142">_xlfn.XLOOKUP(D142,Tabela_Dados_Esc_JAB_2026[INEP],Tabela_Dados_Esc_JAB_2026[REGIONAL],"NE",0)</f>
        <v>REGIONAL 5</v>
      </c>
      <c r="C142" s="4" t="str">
        <f>IFERROR(__xludf.dummyfunction("""COMPUTED_VALUE"""),"CEMEI PROFESSORA LINDOMAR DOMINGOS DA SILVA ANJOS")</f>
        <v>CEMEI PROFESSORA LINDOMAR DOMINGOS DA SILVA ANJOS</v>
      </c>
      <c r="D142" s="3" t="str">
        <f>IFERROR(__xludf.dummyfunction("""COMPUTED_VALUE"""),"26191296")</f>
        <v>26191296</v>
      </c>
      <c r="E142" s="3" t="str">
        <f>IFERROR(__xludf.dummyfunction("""COMPUTED_VALUE"""),"INFANTIL 2")</f>
        <v>INFANTIL 2</v>
      </c>
      <c r="F142" s="3" t="str">
        <f>IFERROR(__xludf.dummyfunction("""COMPUTED_VALUE"""),"Integral")</f>
        <v>Integral</v>
      </c>
      <c r="G142" s="3" t="str">
        <f>IFERROR(__xludf.dummyfunction("""COMPUTED_VALUE"""),"Comum")</f>
        <v>Comum</v>
      </c>
      <c r="H142" s="3" t="str">
        <f>IFERROR(__xludf.dummyfunction("""COMPUTED_VALUE"""),"32")</f>
        <v>32</v>
      </c>
      <c r="I142" s="145" t="str">
        <f>IFERROR(__xludf.dummyfunction("""COMPUTED_VALUE"""),"26062466931")</f>
        <v>26062466931</v>
      </c>
      <c r="J142" s="3" t="str">
        <f>IFERROR(__xludf.dummyfunction("""COMPUTED_VALUE"""),"29/06/2026 09:11:46")</f>
        <v>29/06/2026 09:11:46</v>
      </c>
      <c r="K142" s="3" t="str">
        <f>IFERROR(__xludf.dummyfunction("""COMPUTED_VALUE"""),"KALEB RUAN BARBOZA DA SILVA")</f>
        <v>KALEB RUAN BARBOZA DA SILVA</v>
      </c>
      <c r="L142" s="146" t="str">
        <f>IFERROR(__xludf.dummyfunction("""COMPUTED_VALUE"""),"001.982.434-30")</f>
        <v>001.982.434-30</v>
      </c>
      <c r="M142" s="146" t="str">
        <f>IFERROR(__xludf.dummyfunction("""COMPUTED_VALUE"""),"16/02/2024")</f>
        <v>16/02/2024</v>
      </c>
      <c r="N142" s="3"/>
      <c r="O142" s="3" t="str">
        <f>IFERROR(__xludf.dummyfunction("""COMPUTED_VALUE"""),"0")</f>
        <v>0</v>
      </c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hidden="1" customHeight="1" spans="1:29">
      <c r="A143" s="3"/>
      <c r="B143" s="3" t="str">
        <f t="array" ref="B143">_xlfn.XLOOKUP(D143,Tabela_Dados_Esc_JAB_2026[INEP],Tabela_Dados_Esc_JAB_2026[REGIONAL],"NE",0)</f>
        <v>REGIONAL 5</v>
      </c>
      <c r="C143" s="4" t="str">
        <f>IFERROR(__xludf.dummyfunction("""COMPUTED_VALUE"""),"CEMEI PROFESSORA LINDOMAR DOMINGOS DA SILVA ANJOS")</f>
        <v>CEMEI PROFESSORA LINDOMAR DOMINGOS DA SILVA ANJOS</v>
      </c>
      <c r="D143" s="3" t="str">
        <f>IFERROR(__xludf.dummyfunction("""COMPUTED_VALUE"""),"26191296")</f>
        <v>26191296</v>
      </c>
      <c r="E143" s="3" t="str">
        <f>IFERROR(__xludf.dummyfunction("""COMPUTED_VALUE"""),"INFANTIL 2")</f>
        <v>INFANTIL 2</v>
      </c>
      <c r="F143" s="3" t="str">
        <f>IFERROR(__xludf.dummyfunction("""COMPUTED_VALUE"""),"Integral")</f>
        <v>Integral</v>
      </c>
      <c r="G143" s="3" t="str">
        <f>IFERROR(__xludf.dummyfunction("""COMPUTED_VALUE"""),"Comum")</f>
        <v>Comum</v>
      </c>
      <c r="H143" s="3" t="str">
        <f>IFERROR(__xludf.dummyfunction("""COMPUTED_VALUE"""),"33")</f>
        <v>33</v>
      </c>
      <c r="I143" s="145" t="str">
        <f>IFERROR(__xludf.dummyfunction("""COMPUTED_VALUE"""),"26072107489")</f>
        <v>26072107489</v>
      </c>
      <c r="J143" s="3" t="str">
        <f>IFERROR(__xludf.dummyfunction("""COMPUTED_VALUE"""),"29/07/2026 11:41:38")</f>
        <v>29/07/2026 11:41:38</v>
      </c>
      <c r="K143" s="3" t="str">
        <f>IFERROR(__xludf.dummyfunction("""COMPUTED_VALUE"""),"MAYA SILVA DE MORAES")</f>
        <v>MAYA SILVA DE MORAES</v>
      </c>
      <c r="L143" s="146" t="str">
        <f>IFERROR(__xludf.dummyfunction("""COMPUTED_VALUE"""),"186.554.664-09")</f>
        <v>186.554.664-09</v>
      </c>
      <c r="M143" s="146" t="str">
        <f>IFERROR(__xludf.dummyfunction("""COMPUTED_VALUE"""),"11/09/2023")</f>
        <v>11/09/2023</v>
      </c>
      <c r="N143" s="3"/>
      <c r="O143" s="3" t="str">
        <f>IFERROR(__xludf.dummyfunction("""COMPUTED_VALUE"""),"0")</f>
        <v>0</v>
      </c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hidden="1" customHeight="1" spans="1:29">
      <c r="A144" s="3"/>
      <c r="B144" s="3" t="str">
        <f t="array" ref="B144">_xlfn.XLOOKUP(D144,Tabela_Dados_Esc_JAB_2026[INEP],Tabela_Dados_Esc_JAB_2026[REGIONAL],"NE",0)</f>
        <v>REGIONAL 5</v>
      </c>
      <c r="C144" s="4" t="str">
        <f>IFERROR(__xludf.dummyfunction("""COMPUTED_VALUE"""),"CEMEI PROFESSORA LINDOMAR DOMINGOS DA SILVA ANJOS")</f>
        <v>CEMEI PROFESSORA LINDOMAR DOMINGOS DA SILVA ANJOS</v>
      </c>
      <c r="D144" s="3" t="str">
        <f>IFERROR(__xludf.dummyfunction("""COMPUTED_VALUE"""),"26191296")</f>
        <v>26191296</v>
      </c>
      <c r="E144" s="3" t="str">
        <f>IFERROR(__xludf.dummyfunction("""COMPUTED_VALUE"""),"INFANTIL 2")</f>
        <v>INFANTIL 2</v>
      </c>
      <c r="F144" s="3" t="str">
        <f>IFERROR(__xludf.dummyfunction("""COMPUTED_VALUE"""),"Integral")</f>
        <v>Integral</v>
      </c>
      <c r="G144" s="3" t="str">
        <f>IFERROR(__xludf.dummyfunction("""COMPUTED_VALUE"""),"Comum")</f>
        <v>Comum</v>
      </c>
      <c r="H144" s="3" t="str">
        <f>IFERROR(__xludf.dummyfunction("""COMPUTED_VALUE"""),"34")</f>
        <v>34</v>
      </c>
      <c r="I144" s="145" t="str">
        <f>IFERROR(__xludf.dummyfunction("""COMPUTED_VALUE"""),"26082721704")</f>
        <v>26082721704</v>
      </c>
      <c r="J144" s="3" t="str">
        <f>IFERROR(__xludf.dummyfunction("""COMPUTED_VALUE"""),"21/08/2026 17:45:10")</f>
        <v>21/08/2026 17:45:10</v>
      </c>
      <c r="K144" s="3" t="str">
        <f>IFERROR(__xludf.dummyfunction("""COMPUTED_VALUE"""),"Arthur Samuel")</f>
        <v>Arthur Samuel</v>
      </c>
      <c r="L144" s="146" t="str">
        <f>IFERROR(__xludf.dummyfunction("""COMPUTED_VALUE"""),"166.562.289-09")</f>
        <v>166.562.289-09</v>
      </c>
      <c r="M144" s="146" t="str">
        <f>IFERROR(__xludf.dummyfunction("""COMPUTED_VALUE"""),"07/05/2023")</f>
        <v>07/05/2023</v>
      </c>
      <c r="N144" s="3"/>
      <c r="O144" s="3" t="str">
        <f>IFERROR(__xludf.dummyfunction("""COMPUTED_VALUE"""),"0")</f>
        <v>0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hidden="1" customHeight="1" spans="1:29">
      <c r="A145" s="3"/>
      <c r="B145" s="3" t="str">
        <f t="array" ref="B145">_xlfn.XLOOKUP(D145,Tabela_Dados_Esc_JAB_2026[INEP],Tabela_Dados_Esc_JAB_2026[REGIONAL],"NE",0)</f>
        <v>REGIONAL 5</v>
      </c>
      <c r="C145" s="4" t="str">
        <f>IFERROR(__xludf.dummyfunction("""COMPUTED_VALUE"""),"CEMEI PROFESSORA LINDOMAR DOMINGOS DA SILVA ANJOS")</f>
        <v>CEMEI PROFESSORA LINDOMAR DOMINGOS DA SILVA ANJOS</v>
      </c>
      <c r="D145" s="3" t="str">
        <f>IFERROR(__xludf.dummyfunction("""COMPUTED_VALUE"""),"26191296")</f>
        <v>26191296</v>
      </c>
      <c r="E145" s="3" t="str">
        <f>IFERROR(__xludf.dummyfunction("""COMPUTED_VALUE"""),"INFANTIL 2")</f>
        <v>INFANTIL 2</v>
      </c>
      <c r="F145" s="3" t="str">
        <f>IFERROR(__xludf.dummyfunction("""COMPUTED_VALUE"""),"Integral")</f>
        <v>Integral</v>
      </c>
      <c r="G145" s="3" t="str">
        <f>IFERROR(__xludf.dummyfunction("""COMPUTED_VALUE"""),"Comum")</f>
        <v>Comum</v>
      </c>
      <c r="H145" s="3" t="str">
        <f>IFERROR(__xludf.dummyfunction("""COMPUTED_VALUE"""),"35")</f>
        <v>35</v>
      </c>
      <c r="I145" s="145" t="str">
        <f>IFERROR(__xludf.dummyfunction("""COMPUTED_VALUE"""),"26092971705")</f>
        <v>26092971705</v>
      </c>
      <c r="J145" s="3" t="str">
        <f>IFERROR(__xludf.dummyfunction("""COMPUTED_VALUE"""),"17/09/2026 11:46:58")</f>
        <v>17/09/2026 11:46:58</v>
      </c>
      <c r="K145" s="3" t="str">
        <f>IFERROR(__xludf.dummyfunction("""COMPUTED_VALUE"""),"HEITOR WILIAN VERIDIANO PEREIRA")</f>
        <v>HEITOR WILIAN VERIDIANO PEREIRA</v>
      </c>
      <c r="L145" s="146" t="str">
        <f>IFERROR(__xludf.dummyfunction("""COMPUTED_VALUE"""),"185.524.974-09")</f>
        <v>185.524.974-09</v>
      </c>
      <c r="M145" s="146" t="str">
        <f>IFERROR(__xludf.dummyfunction("""COMPUTED_VALUE"""),"31/05/2023")</f>
        <v>31/05/2023</v>
      </c>
      <c r="N145" s="3"/>
      <c r="O145" s="3" t="str">
        <f>IFERROR(__xludf.dummyfunction("""COMPUTED_VALUE"""),"0")</f>
        <v>0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hidden="1" customHeight="1" spans="1:29">
      <c r="A146" s="3"/>
      <c r="B146" s="3" t="str">
        <f t="array" ref="B146">_xlfn.XLOOKUP(D146,Tabela_Dados_Esc_JAB_2026[INEP],Tabela_Dados_Esc_JAB_2026[REGIONAL],"NE",0)</f>
        <v>REGIONAL 5</v>
      </c>
      <c r="C146" s="4" t="str">
        <f>IFERROR(__xludf.dummyfunction("""COMPUTED_VALUE"""),"CEMEI PROFESSORA LINDOMAR DOMINGOS DA SILVA ANJOS")</f>
        <v>CEMEI PROFESSORA LINDOMAR DOMINGOS DA SILVA ANJOS</v>
      </c>
      <c r="D146" s="3" t="str">
        <f>IFERROR(__xludf.dummyfunction("""COMPUTED_VALUE"""),"26191296")</f>
        <v>26191296</v>
      </c>
      <c r="E146" s="3" t="str">
        <f>IFERROR(__xludf.dummyfunction("""COMPUTED_VALUE"""),"INFANTIL 3")</f>
        <v>INFANTIL 3</v>
      </c>
      <c r="F146" s="3" t="str">
        <f>IFERROR(__xludf.dummyfunction("""COMPUTED_VALUE"""),"Integral")</f>
        <v>Integral</v>
      </c>
      <c r="G146" s="3" t="str">
        <f>IFERROR(__xludf.dummyfunction("""COMPUTED_VALUE"""),"Comum")</f>
        <v>Comum</v>
      </c>
      <c r="H146" s="3" t="str">
        <f>IFERROR(__xludf.dummyfunction("""COMPUTED_VALUE"""),"1")</f>
        <v>1</v>
      </c>
      <c r="I146" s="145" t="str">
        <f>IFERROR(__xludf.dummyfunction("""COMPUTED_VALUE"""),"26012022643")</f>
        <v>26012022643</v>
      </c>
      <c r="J146" s="3" t="str">
        <f>IFERROR(__xludf.dummyfunction("""COMPUTED_VALUE"""),"28/01/2026 08:09:51")</f>
        <v>28/01/2026 08:09:51</v>
      </c>
      <c r="K146" s="3" t="str">
        <f>IFERROR(__xludf.dummyfunction("""COMPUTED_VALUE"""),"JÚLIA VITÓRIA MARTINS DA SILVA SANTOS")</f>
        <v>JÚLIA VITÓRIA MARTINS DA SILVA SANTOS</v>
      </c>
      <c r="L146" s="146" t="str">
        <f>IFERROR(__xludf.dummyfunction("""COMPUTED_VALUE"""),"182.893.304-05")</f>
        <v>182.893.304-05</v>
      </c>
      <c r="M146" s="146" t="str">
        <f>IFERROR(__xludf.dummyfunction("""COMPUTED_VALUE"""),"11/08/2022")</f>
        <v>11/08/2022</v>
      </c>
      <c r="N146" s="3"/>
      <c r="O146" s="3" t="str">
        <f>IFERROR(__xludf.dummyfunction("""COMPUTED_VALUE"""),"0")</f>
        <v>0</v>
      </c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hidden="1" customHeight="1" spans="1:29">
      <c r="A147" s="3"/>
      <c r="B147" s="3" t="str">
        <f t="array" ref="B147">_xlfn.XLOOKUP(D147,Tabela_Dados_Esc_JAB_2026[INEP],Tabela_Dados_Esc_JAB_2026[REGIONAL],"NE",0)</f>
        <v>REGIONAL 5</v>
      </c>
      <c r="C147" s="4" t="str">
        <f>IFERROR(__xludf.dummyfunction("""COMPUTED_VALUE"""),"CEMEI PROFESSORA LINDOMAR DOMINGOS DA SILVA ANJOS")</f>
        <v>CEMEI PROFESSORA LINDOMAR DOMINGOS DA SILVA ANJOS</v>
      </c>
      <c r="D147" s="3" t="str">
        <f>IFERROR(__xludf.dummyfunction("""COMPUTED_VALUE"""),"26191296")</f>
        <v>26191296</v>
      </c>
      <c r="E147" s="3" t="str">
        <f>IFERROR(__xludf.dummyfunction("""COMPUTED_VALUE"""),"INFANTIL 3")</f>
        <v>INFANTIL 3</v>
      </c>
      <c r="F147" s="3" t="str">
        <f>IFERROR(__xludf.dummyfunction("""COMPUTED_VALUE"""),"Integral")</f>
        <v>Integral</v>
      </c>
      <c r="G147" s="3" t="str">
        <f>IFERROR(__xludf.dummyfunction("""COMPUTED_VALUE"""),"Comum")</f>
        <v>Comum</v>
      </c>
      <c r="H147" s="3" t="str">
        <f>IFERROR(__xludf.dummyfunction("""COMPUTED_VALUE"""),"2")</f>
        <v>2</v>
      </c>
      <c r="I147" s="145" t="str">
        <f>IFERROR(__xludf.dummyfunction("""COMPUTED_VALUE"""),"26012216145")</f>
        <v>26012216145</v>
      </c>
      <c r="J147" s="3" t="str">
        <f>IFERROR(__xludf.dummyfunction("""COMPUTED_VALUE"""),"28/01/2026 08:18:50")</f>
        <v>28/01/2026 08:18:50</v>
      </c>
      <c r="K147" s="3" t="str">
        <f>IFERROR(__xludf.dummyfunction("""COMPUTED_VALUE"""),"THOMAS SHELBY ALMEIDA SANTOS")</f>
        <v>THOMAS SHELBY ALMEIDA SANTOS</v>
      </c>
      <c r="L147" s="146" t="str">
        <f>IFERROR(__xludf.dummyfunction("""COMPUTED_VALUE"""),"182.095.624-52")</f>
        <v>182.095.624-52</v>
      </c>
      <c r="M147" s="146" t="str">
        <f>IFERROR(__xludf.dummyfunction("""COMPUTED_VALUE"""),"25/06/2022")</f>
        <v>25/06/2022</v>
      </c>
      <c r="N147" s="3"/>
      <c r="O147" s="3" t="str">
        <f>IFERROR(__xludf.dummyfunction("""COMPUTED_VALUE"""),"0")</f>
        <v>0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hidden="1" customHeight="1" spans="1:29">
      <c r="A148" s="3"/>
      <c r="B148" s="3" t="str">
        <f t="array" ref="B148">_xlfn.XLOOKUP(D148,Tabela_Dados_Esc_JAB_2026[INEP],Tabela_Dados_Esc_JAB_2026[REGIONAL],"NE",0)</f>
        <v>REGIONAL 5</v>
      </c>
      <c r="C148" s="4" t="str">
        <f>IFERROR(__xludf.dummyfunction("""COMPUTED_VALUE"""),"CEMEI PROFESSORA LINDOMAR DOMINGOS DA SILVA ANJOS")</f>
        <v>CEMEI PROFESSORA LINDOMAR DOMINGOS DA SILVA ANJOS</v>
      </c>
      <c r="D148" s="3" t="str">
        <f>IFERROR(__xludf.dummyfunction("""COMPUTED_VALUE"""),"26191296")</f>
        <v>26191296</v>
      </c>
      <c r="E148" s="3" t="str">
        <f>IFERROR(__xludf.dummyfunction("""COMPUTED_VALUE"""),"INFANTIL 3")</f>
        <v>INFANTIL 3</v>
      </c>
      <c r="F148" s="3" t="str">
        <f>IFERROR(__xludf.dummyfunction("""COMPUTED_VALUE"""),"Integral")</f>
        <v>Integral</v>
      </c>
      <c r="G148" s="3" t="str">
        <f>IFERROR(__xludf.dummyfunction("""COMPUTED_VALUE"""),"Comum")</f>
        <v>Comum</v>
      </c>
      <c r="H148" s="3" t="str">
        <f>IFERROR(__xludf.dummyfunction("""COMPUTED_VALUE"""),"3")</f>
        <v>3</v>
      </c>
      <c r="I148" s="145" t="str">
        <f>IFERROR(__xludf.dummyfunction("""COMPUTED_VALUE"""),"26012502365")</f>
        <v>26012502365</v>
      </c>
      <c r="J148" s="3" t="str">
        <f>IFERROR(__xludf.dummyfunction("""COMPUTED_VALUE"""),"28/01/2026 08:24:51")</f>
        <v>28/01/2026 08:24:51</v>
      </c>
      <c r="K148" s="3" t="str">
        <f>IFERROR(__xludf.dummyfunction("""COMPUTED_VALUE"""),"KEVIN LUCAS VITORINO DA SILVA")</f>
        <v>KEVIN LUCAS VITORINO DA SILVA</v>
      </c>
      <c r="L148" s="146" t="str">
        <f>IFERROR(__xludf.dummyfunction("""COMPUTED_VALUE"""),"184.272.764-86")</f>
        <v>184.272.764-86</v>
      </c>
      <c r="M148" s="146" t="str">
        <f>IFERROR(__xludf.dummyfunction("""COMPUTED_VALUE"""),"14/01/2023")</f>
        <v>14/01/2023</v>
      </c>
      <c r="N148" s="3"/>
      <c r="O148" s="3" t="str">
        <f>IFERROR(__xludf.dummyfunction("""COMPUTED_VALUE"""),"0")</f>
        <v>0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hidden="1" customHeight="1" spans="1:29">
      <c r="A149" s="3"/>
      <c r="B149" s="3" t="str">
        <f t="array" ref="B149">_xlfn.XLOOKUP(D149,Tabela_Dados_Esc_JAB_2026[INEP],Tabela_Dados_Esc_JAB_2026[REGIONAL],"NE",0)</f>
        <v>REGIONAL 5</v>
      </c>
      <c r="C149" s="4" t="str">
        <f>IFERROR(__xludf.dummyfunction("""COMPUTED_VALUE"""),"CEMEI PROFESSORA LINDOMAR DOMINGOS DA SILVA ANJOS")</f>
        <v>CEMEI PROFESSORA LINDOMAR DOMINGOS DA SILVA ANJOS</v>
      </c>
      <c r="D149" s="3" t="str">
        <f>IFERROR(__xludf.dummyfunction("""COMPUTED_VALUE"""),"26191296")</f>
        <v>26191296</v>
      </c>
      <c r="E149" s="3" t="str">
        <f>IFERROR(__xludf.dummyfunction("""COMPUTED_VALUE"""),"INFANTIL 3")</f>
        <v>INFANTIL 3</v>
      </c>
      <c r="F149" s="3" t="str">
        <f>IFERROR(__xludf.dummyfunction("""COMPUTED_VALUE"""),"Integral")</f>
        <v>Integral</v>
      </c>
      <c r="G149" s="3" t="str">
        <f>IFERROR(__xludf.dummyfunction("""COMPUTED_VALUE"""),"Comum")</f>
        <v>Comum</v>
      </c>
      <c r="H149" s="3" t="str">
        <f>IFERROR(__xludf.dummyfunction("""COMPUTED_VALUE"""),"4")</f>
        <v>4</v>
      </c>
      <c r="I149" s="145" t="str">
        <f>IFERROR(__xludf.dummyfunction("""COMPUTED_VALUE"""),"26012447370")</f>
        <v>26012447370</v>
      </c>
      <c r="J149" s="3" t="str">
        <f>IFERROR(__xludf.dummyfunction("""COMPUTED_VALUE"""),"28/01/2026 08:40:24")</f>
        <v>28/01/2026 08:40:24</v>
      </c>
      <c r="K149" s="3" t="str">
        <f>IFERROR(__xludf.dummyfunction("""COMPUTED_VALUE"""),"ARTHUR HENRIQUE DE OLIVEIRA SOUZA")</f>
        <v>ARTHUR HENRIQUE DE OLIVEIRA SOUZA</v>
      </c>
      <c r="L149" s="146" t="str">
        <f>IFERROR(__xludf.dummyfunction("""COMPUTED_VALUE"""),"181.683.934-57")</f>
        <v>181.683.934-57</v>
      </c>
      <c r="M149" s="146" t="str">
        <f>IFERROR(__xludf.dummyfunction("""COMPUTED_VALUE"""),"16/05/2022")</f>
        <v>16/05/2022</v>
      </c>
      <c r="N149" s="3"/>
      <c r="O149" s="3" t="str">
        <f>IFERROR(__xludf.dummyfunction("""COMPUTED_VALUE"""),"0")</f>
        <v>0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hidden="1" customHeight="1" spans="1:29">
      <c r="A150" s="3"/>
      <c r="B150" s="3" t="str">
        <f t="array" ref="B150">_xlfn.XLOOKUP(D150,Tabela_Dados_Esc_JAB_2026[INEP],Tabela_Dados_Esc_JAB_2026[REGIONAL],"NE",0)</f>
        <v>REGIONAL 5</v>
      </c>
      <c r="C150" s="4" t="str">
        <f>IFERROR(__xludf.dummyfunction("""COMPUTED_VALUE"""),"CEMEI PROFESSORA LINDOMAR DOMINGOS DA SILVA ANJOS")</f>
        <v>CEMEI PROFESSORA LINDOMAR DOMINGOS DA SILVA ANJOS</v>
      </c>
      <c r="D150" s="3" t="str">
        <f>IFERROR(__xludf.dummyfunction("""COMPUTED_VALUE"""),"26191296")</f>
        <v>26191296</v>
      </c>
      <c r="E150" s="3" t="str">
        <f>IFERROR(__xludf.dummyfunction("""COMPUTED_VALUE"""),"INFANTIL 3")</f>
        <v>INFANTIL 3</v>
      </c>
      <c r="F150" s="3" t="str">
        <f>IFERROR(__xludf.dummyfunction("""COMPUTED_VALUE"""),"Integral")</f>
        <v>Integral</v>
      </c>
      <c r="G150" s="3" t="str">
        <f>IFERROR(__xludf.dummyfunction("""COMPUTED_VALUE"""),"Comum")</f>
        <v>Comum</v>
      </c>
      <c r="H150" s="3" t="str">
        <f>IFERROR(__xludf.dummyfunction("""COMPUTED_VALUE"""),"5")</f>
        <v>5</v>
      </c>
      <c r="I150" s="145" t="str">
        <f>IFERROR(__xludf.dummyfunction("""COMPUTED_VALUE"""),"26012377730")</f>
        <v>26012377730</v>
      </c>
      <c r="J150" s="3" t="str">
        <f>IFERROR(__xludf.dummyfunction("""COMPUTED_VALUE"""),"28/01/2026 08:49:30")</f>
        <v>28/01/2026 08:49:30</v>
      </c>
      <c r="K150" s="3" t="str">
        <f>IFERROR(__xludf.dummyfunction("""COMPUTED_VALUE"""),"JOAQUIM BRAZ SOARES DA SILVA")</f>
        <v>JOAQUIM BRAZ SOARES DA SILVA</v>
      </c>
      <c r="L150" s="146" t="str">
        <f>IFERROR(__xludf.dummyfunction("""COMPUTED_VALUE"""),"184.957.744-70")</f>
        <v>184.957.744-70</v>
      </c>
      <c r="M150" s="146" t="str">
        <f>IFERROR(__xludf.dummyfunction("""COMPUTED_VALUE"""),"06/03/2023")</f>
        <v>06/03/2023</v>
      </c>
      <c r="N150" s="3"/>
      <c r="O150" s="3" t="str">
        <f>IFERROR(__xludf.dummyfunction("""COMPUTED_VALUE"""),"0")</f>
        <v>0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hidden="1" customHeight="1" spans="1:29">
      <c r="A151" s="3"/>
      <c r="B151" s="3" t="str">
        <f t="array" ref="B151">_xlfn.XLOOKUP(D151,Tabela_Dados_Esc_JAB_2026[INEP],Tabela_Dados_Esc_JAB_2026[REGIONAL],"NE",0)</f>
        <v>REGIONAL 5</v>
      </c>
      <c r="C151" s="4" t="str">
        <f>IFERROR(__xludf.dummyfunction("""COMPUTED_VALUE"""),"CEMEI PROFESSORA LINDOMAR DOMINGOS DA SILVA ANJOS")</f>
        <v>CEMEI PROFESSORA LINDOMAR DOMINGOS DA SILVA ANJOS</v>
      </c>
      <c r="D151" s="3" t="str">
        <f>IFERROR(__xludf.dummyfunction("""COMPUTED_VALUE"""),"26191296")</f>
        <v>26191296</v>
      </c>
      <c r="E151" s="3" t="str">
        <f>IFERROR(__xludf.dummyfunction("""COMPUTED_VALUE"""),"INFANTIL 3")</f>
        <v>INFANTIL 3</v>
      </c>
      <c r="F151" s="3" t="str">
        <f>IFERROR(__xludf.dummyfunction("""COMPUTED_VALUE"""),"Integral")</f>
        <v>Integral</v>
      </c>
      <c r="G151" s="3" t="str">
        <f>IFERROR(__xludf.dummyfunction("""COMPUTED_VALUE"""),"Comum")</f>
        <v>Comum</v>
      </c>
      <c r="H151" s="3" t="str">
        <f>IFERROR(__xludf.dummyfunction("""COMPUTED_VALUE"""),"6")</f>
        <v>6</v>
      </c>
      <c r="I151" s="145" t="str">
        <f>IFERROR(__xludf.dummyfunction("""COMPUTED_VALUE"""),"26012255382")</f>
        <v>26012255382</v>
      </c>
      <c r="J151" s="3" t="str">
        <f>IFERROR(__xludf.dummyfunction("""COMPUTED_VALUE"""),"28/01/2026 10:50:39")</f>
        <v>28/01/2026 10:50:39</v>
      </c>
      <c r="K151" s="3" t="str">
        <f>IFERROR(__xludf.dummyfunction("""COMPUTED_VALUE"""),"GAELL SILVA RAMOS")</f>
        <v>GAELL SILVA RAMOS</v>
      </c>
      <c r="L151" s="146" t="str">
        <f>IFERROR(__xludf.dummyfunction("""COMPUTED_VALUE"""),"181.246.604-84")</f>
        <v>181.246.604-84</v>
      </c>
      <c r="M151" s="146" t="str">
        <f>IFERROR(__xludf.dummyfunction("""COMPUTED_VALUE"""),"14/04/2022")</f>
        <v>14/04/2022</v>
      </c>
      <c r="N151" s="3"/>
      <c r="O151" s="3" t="str">
        <f>IFERROR(__xludf.dummyfunction("""COMPUTED_VALUE"""),"0")</f>
        <v>0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hidden="1" customHeight="1" spans="1:29">
      <c r="A152" s="3"/>
      <c r="B152" s="3" t="str">
        <f t="array" ref="B152">_xlfn.XLOOKUP(D152,Tabela_Dados_Esc_JAB_2026[INEP],Tabela_Dados_Esc_JAB_2026[REGIONAL],"NE",0)</f>
        <v>REGIONAL 5</v>
      </c>
      <c r="C152" s="4" t="str">
        <f>IFERROR(__xludf.dummyfunction("""COMPUTED_VALUE"""),"CEMEI PROFESSORA LINDOMAR DOMINGOS DA SILVA ANJOS")</f>
        <v>CEMEI PROFESSORA LINDOMAR DOMINGOS DA SILVA ANJOS</v>
      </c>
      <c r="D152" s="3" t="str">
        <f>IFERROR(__xludf.dummyfunction("""COMPUTED_VALUE"""),"26191296")</f>
        <v>26191296</v>
      </c>
      <c r="E152" s="3" t="str">
        <f>IFERROR(__xludf.dummyfunction("""COMPUTED_VALUE"""),"INFANTIL 3")</f>
        <v>INFANTIL 3</v>
      </c>
      <c r="F152" s="3" t="str">
        <f>IFERROR(__xludf.dummyfunction("""COMPUTED_VALUE"""),"Integral")</f>
        <v>Integral</v>
      </c>
      <c r="G152" s="3" t="str">
        <f>IFERROR(__xludf.dummyfunction("""COMPUTED_VALUE"""),"Comum")</f>
        <v>Comum</v>
      </c>
      <c r="H152" s="3" t="str">
        <f>IFERROR(__xludf.dummyfunction("""COMPUTED_VALUE"""),"7")</f>
        <v>7</v>
      </c>
      <c r="I152" s="145" t="str">
        <f>IFERROR(__xludf.dummyfunction("""COMPUTED_VALUE"""),"26012021235")</f>
        <v>26012021235</v>
      </c>
      <c r="J152" s="3" t="str">
        <f>IFERROR(__xludf.dummyfunction("""COMPUTED_VALUE"""),"28/01/2026 15:27:57")</f>
        <v>28/01/2026 15:27:57</v>
      </c>
      <c r="K152" s="3" t="str">
        <f>IFERROR(__xludf.dummyfunction("""COMPUTED_VALUE"""),"ANTHONY BENJAMIM NASCIMENTO DA SILVA")</f>
        <v>ANTHONY BENJAMIM NASCIMENTO DA SILVA</v>
      </c>
      <c r="L152" s="146" t="str">
        <f>IFERROR(__xludf.dummyfunction("""COMPUTED_VALUE"""),"181.296.554-03")</f>
        <v>181.296.554-03</v>
      </c>
      <c r="M152" s="146" t="str">
        <f>IFERROR(__xludf.dummyfunction("""COMPUTED_VALUE"""),"19/04/2022")</f>
        <v>19/04/2022</v>
      </c>
      <c r="N152" s="3"/>
      <c r="O152" s="3" t="str">
        <f>IFERROR(__xludf.dummyfunction("""COMPUTED_VALUE"""),"0")</f>
        <v>0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hidden="1" customHeight="1" spans="1:29">
      <c r="A153" s="3"/>
      <c r="B153" s="3" t="str">
        <f t="array" ref="B153">_xlfn.XLOOKUP(D153,Tabela_Dados_Esc_JAB_2026[INEP],Tabela_Dados_Esc_JAB_2026[REGIONAL],"NE",0)</f>
        <v>REGIONAL 5</v>
      </c>
      <c r="C153" s="4" t="str">
        <f>IFERROR(__xludf.dummyfunction("""COMPUTED_VALUE"""),"CEMEI PROFESSORA LINDOMAR DOMINGOS DA SILVA ANJOS")</f>
        <v>CEMEI PROFESSORA LINDOMAR DOMINGOS DA SILVA ANJOS</v>
      </c>
      <c r="D153" s="3" t="str">
        <f>IFERROR(__xludf.dummyfunction("""COMPUTED_VALUE"""),"26191296")</f>
        <v>26191296</v>
      </c>
      <c r="E153" s="3" t="str">
        <f>IFERROR(__xludf.dummyfunction("""COMPUTED_VALUE"""),"INFANTIL 3")</f>
        <v>INFANTIL 3</v>
      </c>
      <c r="F153" s="3" t="str">
        <f>IFERROR(__xludf.dummyfunction("""COMPUTED_VALUE"""),"Integral")</f>
        <v>Integral</v>
      </c>
      <c r="G153" s="3" t="str">
        <f>IFERROR(__xludf.dummyfunction("""COMPUTED_VALUE"""),"Comum")</f>
        <v>Comum</v>
      </c>
      <c r="H153" s="3" t="str">
        <f>IFERROR(__xludf.dummyfunction("""COMPUTED_VALUE"""),"8")</f>
        <v>8</v>
      </c>
      <c r="I153" s="145" t="str">
        <f>IFERROR(__xludf.dummyfunction("""COMPUTED_VALUE"""),"26012578280")</f>
        <v>26012578280</v>
      </c>
      <c r="J153" s="3" t="str">
        <f>IFERROR(__xludf.dummyfunction("""COMPUTED_VALUE"""),"28/01/2026 16:26:14")</f>
        <v>28/01/2026 16:26:14</v>
      </c>
      <c r="K153" s="3" t="str">
        <f>IFERROR(__xludf.dummyfunction("""COMPUTED_VALUE"""),"ANTHONY TALISSON SANTOS DA SILVA")</f>
        <v>ANTHONY TALISSON SANTOS DA SILVA</v>
      </c>
      <c r="L153" s="146" t="str">
        <f>IFERROR(__xludf.dummyfunction("""COMPUTED_VALUE"""),"184.039.494-30")</f>
        <v>184.039.494-30</v>
      </c>
      <c r="M153" s="146" t="str">
        <f>IFERROR(__xludf.dummyfunction("""COMPUTED_VALUE"""),"13/12/2022")</f>
        <v>13/12/2022</v>
      </c>
      <c r="N153" s="3"/>
      <c r="O153" s="3" t="str">
        <f>IFERROR(__xludf.dummyfunction("""COMPUTED_VALUE"""),"0")</f>
        <v>0</v>
      </c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hidden="1" customHeight="1" spans="1:29">
      <c r="A154" s="3"/>
      <c r="B154" s="3" t="str">
        <f t="array" ref="B154">_xlfn.XLOOKUP(D154,Tabela_Dados_Esc_JAB_2026[INEP],Tabela_Dados_Esc_JAB_2026[REGIONAL],"NE",0)</f>
        <v>REGIONAL 5</v>
      </c>
      <c r="C154" s="4" t="str">
        <f>IFERROR(__xludf.dummyfunction("""COMPUTED_VALUE"""),"CEMEI PROFESSORA LINDOMAR DOMINGOS DA SILVA ANJOS")</f>
        <v>CEMEI PROFESSORA LINDOMAR DOMINGOS DA SILVA ANJOS</v>
      </c>
      <c r="D154" s="3" t="str">
        <f>IFERROR(__xludf.dummyfunction("""COMPUTED_VALUE"""),"26191296")</f>
        <v>26191296</v>
      </c>
      <c r="E154" s="3" t="str">
        <f>IFERROR(__xludf.dummyfunction("""COMPUTED_VALUE"""),"INFANTIL 3")</f>
        <v>INFANTIL 3</v>
      </c>
      <c r="F154" s="3" t="str">
        <f>IFERROR(__xludf.dummyfunction("""COMPUTED_VALUE"""),"Integral")</f>
        <v>Integral</v>
      </c>
      <c r="G154" s="3" t="str">
        <f>IFERROR(__xludf.dummyfunction("""COMPUTED_VALUE"""),"Comum")</f>
        <v>Comum</v>
      </c>
      <c r="H154" s="3" t="str">
        <f>IFERROR(__xludf.dummyfunction("""COMPUTED_VALUE"""),"9")</f>
        <v>9</v>
      </c>
      <c r="I154" s="145" t="str">
        <f>IFERROR(__xludf.dummyfunction("""COMPUTED_VALUE"""),"26012369873")</f>
        <v>26012369873</v>
      </c>
      <c r="J154" s="3" t="str">
        <f>IFERROR(__xludf.dummyfunction("""COMPUTED_VALUE"""),"28/01/2026 22:31:23")</f>
        <v>28/01/2026 22:31:23</v>
      </c>
      <c r="K154" s="3" t="str">
        <f>IFERROR(__xludf.dummyfunction("""COMPUTED_VALUE"""),"LUCAS MIGUEL DA HORA SILVA")</f>
        <v>LUCAS MIGUEL DA HORA SILVA</v>
      </c>
      <c r="L154" s="146" t="str">
        <f>IFERROR(__xludf.dummyfunction("""COMPUTED_VALUE"""),"184.174.244-90")</f>
        <v>184.174.244-90</v>
      </c>
      <c r="M154" s="146" t="str">
        <f>IFERROR(__xludf.dummyfunction("""COMPUTED_VALUE"""),"26/12/2022")</f>
        <v>26/12/2022</v>
      </c>
      <c r="N154" s="3"/>
      <c r="O154" s="3" t="str">
        <f>IFERROR(__xludf.dummyfunction("""COMPUTED_VALUE"""),"0")</f>
        <v>0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hidden="1" customHeight="1" spans="1:29">
      <c r="A155" s="3"/>
      <c r="B155" s="3" t="str">
        <f t="array" ref="B155">_xlfn.XLOOKUP(D155,Tabela_Dados_Esc_JAB_2026[INEP],Tabela_Dados_Esc_JAB_2026[REGIONAL],"NE",0)</f>
        <v>REGIONAL 5</v>
      </c>
      <c r="C155" s="4" t="str">
        <f>IFERROR(__xludf.dummyfunction("""COMPUTED_VALUE"""),"CEMEI PROFESSORA LINDOMAR DOMINGOS DA SILVA ANJOS")</f>
        <v>CEMEI PROFESSORA LINDOMAR DOMINGOS DA SILVA ANJOS</v>
      </c>
      <c r="D155" s="3" t="str">
        <f>IFERROR(__xludf.dummyfunction("""COMPUTED_VALUE"""),"26191296")</f>
        <v>26191296</v>
      </c>
      <c r="E155" s="3" t="str">
        <f>IFERROR(__xludf.dummyfunction("""COMPUTED_VALUE"""),"INFANTIL 3")</f>
        <v>INFANTIL 3</v>
      </c>
      <c r="F155" s="3" t="str">
        <f>IFERROR(__xludf.dummyfunction("""COMPUTED_VALUE"""),"Integral")</f>
        <v>Integral</v>
      </c>
      <c r="G155" s="3" t="str">
        <f>IFERROR(__xludf.dummyfunction("""COMPUTED_VALUE"""),"Comum")</f>
        <v>Comum</v>
      </c>
      <c r="H155" s="3" t="str">
        <f>IFERROR(__xludf.dummyfunction("""COMPUTED_VALUE"""),"10")</f>
        <v>10</v>
      </c>
      <c r="I155" s="145" t="str">
        <f>IFERROR(__xludf.dummyfunction("""COMPUTED_VALUE"""),"26012235051")</f>
        <v>26012235051</v>
      </c>
      <c r="J155" s="3" t="str">
        <f>IFERROR(__xludf.dummyfunction("""COMPUTED_VALUE"""),"29/01/2026 13:04:58")</f>
        <v>29/01/2026 13:04:58</v>
      </c>
      <c r="K155" s="3" t="str">
        <f>IFERROR(__xludf.dummyfunction("""COMPUTED_VALUE"""),"GAEL ALVES GONÇALO DA SILVA")</f>
        <v>GAEL ALVES GONÇALO DA SILVA</v>
      </c>
      <c r="L155" s="146" t="str">
        <f>IFERROR(__xludf.dummyfunction("""COMPUTED_VALUE"""),"184.739.754-99")</f>
        <v>184.739.754-99</v>
      </c>
      <c r="M155" s="146" t="str">
        <f>IFERROR(__xludf.dummyfunction("""COMPUTED_VALUE"""),"19/02/2023")</f>
        <v>19/02/2023</v>
      </c>
      <c r="N155" s="3"/>
      <c r="O155" s="3" t="str">
        <f>IFERROR(__xludf.dummyfunction("""COMPUTED_VALUE"""),"0")</f>
        <v>0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hidden="1" customHeight="1" spans="1:29">
      <c r="A156" s="3"/>
      <c r="B156" s="3" t="str">
        <f t="array" ref="B156">_xlfn.XLOOKUP(D156,Tabela_Dados_Esc_JAB_2026[INEP],Tabela_Dados_Esc_JAB_2026[REGIONAL],"NE",0)</f>
        <v>REGIONAL 5</v>
      </c>
      <c r="C156" s="4" t="str">
        <f>IFERROR(__xludf.dummyfunction("""COMPUTED_VALUE"""),"CEMEI PROFESSORA LINDOMAR DOMINGOS DA SILVA ANJOS")</f>
        <v>CEMEI PROFESSORA LINDOMAR DOMINGOS DA SILVA ANJOS</v>
      </c>
      <c r="D156" s="3" t="str">
        <f>IFERROR(__xludf.dummyfunction("""COMPUTED_VALUE"""),"26191296")</f>
        <v>26191296</v>
      </c>
      <c r="E156" s="3" t="str">
        <f>IFERROR(__xludf.dummyfunction("""COMPUTED_VALUE"""),"INFANTIL 3")</f>
        <v>INFANTIL 3</v>
      </c>
      <c r="F156" s="3" t="str">
        <f>IFERROR(__xludf.dummyfunction("""COMPUTED_VALUE"""),"Integral")</f>
        <v>Integral</v>
      </c>
      <c r="G156" s="3" t="str">
        <f>IFERROR(__xludf.dummyfunction("""COMPUTED_VALUE"""),"Comum")</f>
        <v>Comum</v>
      </c>
      <c r="H156" s="3" t="str">
        <f>IFERROR(__xludf.dummyfunction("""COMPUTED_VALUE"""),"11")</f>
        <v>11</v>
      </c>
      <c r="I156" s="145" t="str">
        <f>IFERROR(__xludf.dummyfunction("""COMPUTED_VALUE"""),"26012451961")</f>
        <v>26012451961</v>
      </c>
      <c r="J156" s="3" t="str">
        <f>IFERROR(__xludf.dummyfunction("""COMPUTED_VALUE"""),"29/01/2026 14:26:01")</f>
        <v>29/01/2026 14:26:01</v>
      </c>
      <c r="K156" s="3" t="str">
        <f>IFERROR(__xludf.dummyfunction("""COMPUTED_VALUE"""),"ISAAC MIGUEL COUTINHO GENESE")</f>
        <v>ISAAC MIGUEL COUTINHO GENESE</v>
      </c>
      <c r="L156" s="146" t="str">
        <f>IFERROR(__xludf.dummyfunction("""COMPUTED_VALUE"""),"185.887.974-45")</f>
        <v>185.887.974-45</v>
      </c>
      <c r="M156" s="146" t="str">
        <f>IFERROR(__xludf.dummyfunction("""COMPUTED_VALUE"""),"18/02/2023")</f>
        <v>18/02/2023</v>
      </c>
      <c r="N156" s="3"/>
      <c r="O156" s="3" t="str">
        <f>IFERROR(__xludf.dummyfunction("""COMPUTED_VALUE"""),"0")</f>
        <v>0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hidden="1" customHeight="1" spans="1:29">
      <c r="A157" s="3"/>
      <c r="B157" s="3" t="str">
        <f t="array" ref="B157">_xlfn.XLOOKUP(D157,Tabela_Dados_Esc_JAB_2026[INEP],Tabela_Dados_Esc_JAB_2026[REGIONAL],"NE",0)</f>
        <v>REGIONAL 5</v>
      </c>
      <c r="C157" s="4" t="str">
        <f>IFERROR(__xludf.dummyfunction("""COMPUTED_VALUE"""),"CEMEI PROFESSORA LINDOMAR DOMINGOS DA SILVA ANJOS")</f>
        <v>CEMEI PROFESSORA LINDOMAR DOMINGOS DA SILVA ANJOS</v>
      </c>
      <c r="D157" s="3" t="str">
        <f>IFERROR(__xludf.dummyfunction("""COMPUTED_VALUE"""),"26191296")</f>
        <v>26191296</v>
      </c>
      <c r="E157" s="3" t="str">
        <f>IFERROR(__xludf.dummyfunction("""COMPUTED_VALUE"""),"INFANTIL 3")</f>
        <v>INFANTIL 3</v>
      </c>
      <c r="F157" s="3" t="str">
        <f>IFERROR(__xludf.dummyfunction("""COMPUTED_VALUE"""),"Integral")</f>
        <v>Integral</v>
      </c>
      <c r="G157" s="3" t="str">
        <f>IFERROR(__xludf.dummyfunction("""COMPUTED_VALUE"""),"Comum")</f>
        <v>Comum</v>
      </c>
      <c r="H157" s="3" t="str">
        <f>IFERROR(__xludf.dummyfunction("""COMPUTED_VALUE"""),"12")</f>
        <v>12</v>
      </c>
      <c r="I157" s="145" t="str">
        <f>IFERROR(__xludf.dummyfunction("""COMPUTED_VALUE"""),"26022800688")</f>
        <v>26022800688</v>
      </c>
      <c r="J157" s="3" t="str">
        <f>IFERROR(__xludf.dummyfunction("""COMPUTED_VALUE"""),"01/02/2026 17:23:13")</f>
        <v>01/02/2026 17:23:13</v>
      </c>
      <c r="K157" s="3" t="str">
        <f>IFERROR(__xludf.dummyfunction("""COMPUTED_VALUE"""),"TAYARA HELENA GOMES DA SILVA")</f>
        <v>TAYARA HELENA GOMES DA SILVA</v>
      </c>
      <c r="L157" s="146" t="str">
        <f>IFERROR(__xludf.dummyfunction("""COMPUTED_VALUE"""),"182.480.944-13")</f>
        <v>182.480.944-13</v>
      </c>
      <c r="M157" s="146" t="str">
        <f>IFERROR(__xludf.dummyfunction("""COMPUTED_VALUE"""),"18/07/2022")</f>
        <v>18/07/2022</v>
      </c>
      <c r="N157" s="3"/>
      <c r="O157" s="3" t="str">
        <f>IFERROR(__xludf.dummyfunction("""COMPUTED_VALUE"""),"0")</f>
        <v>0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hidden="1" customHeight="1" spans="1:29">
      <c r="A158" s="3"/>
      <c r="B158" s="3" t="str">
        <f t="array" ref="B158">_xlfn.XLOOKUP(D158,Tabela_Dados_Esc_JAB_2026[INEP],Tabela_Dados_Esc_JAB_2026[REGIONAL],"NE",0)</f>
        <v>REGIONAL 5</v>
      </c>
      <c r="C158" s="4" t="str">
        <f>IFERROR(__xludf.dummyfunction("""COMPUTED_VALUE"""),"CEMEI PROFESSORA LINDOMAR DOMINGOS DA SILVA ANJOS")</f>
        <v>CEMEI PROFESSORA LINDOMAR DOMINGOS DA SILVA ANJOS</v>
      </c>
      <c r="D158" s="3" t="str">
        <f>IFERROR(__xludf.dummyfunction("""COMPUTED_VALUE"""),"26191296")</f>
        <v>26191296</v>
      </c>
      <c r="E158" s="3" t="str">
        <f>IFERROR(__xludf.dummyfunction("""COMPUTED_VALUE"""),"INFANTIL 3")</f>
        <v>INFANTIL 3</v>
      </c>
      <c r="F158" s="3" t="str">
        <f>IFERROR(__xludf.dummyfunction("""COMPUTED_VALUE"""),"Integral")</f>
        <v>Integral</v>
      </c>
      <c r="G158" s="3" t="str">
        <f>IFERROR(__xludf.dummyfunction("""COMPUTED_VALUE"""),"Comum")</f>
        <v>Comum</v>
      </c>
      <c r="H158" s="3" t="str">
        <f>IFERROR(__xludf.dummyfunction("""COMPUTED_VALUE"""),"13")</f>
        <v>13</v>
      </c>
      <c r="I158" s="145" t="str">
        <f>IFERROR(__xludf.dummyfunction("""COMPUTED_VALUE"""),"26022829678")</f>
        <v>26022829678</v>
      </c>
      <c r="J158" s="3" t="str">
        <f>IFERROR(__xludf.dummyfunction("""COMPUTED_VALUE"""),"02/02/2026 08:52:36")</f>
        <v>02/02/2026 08:52:36</v>
      </c>
      <c r="K158" s="3" t="str">
        <f>IFERROR(__xludf.dummyfunction("""COMPUTED_VALUE"""),"NICOLAS SALAZAR NARANJO")</f>
        <v>NICOLAS SALAZAR NARANJO</v>
      </c>
      <c r="L158" s="146" t="str">
        <f>IFERROR(__xludf.dummyfunction("""COMPUTED_VALUE"""),"231.291.997-48")</f>
        <v>231.291.997-48</v>
      </c>
      <c r="M158" s="146" t="str">
        <f>IFERROR(__xludf.dummyfunction("""COMPUTED_VALUE"""),"20/09/2022")</f>
        <v>20/09/2022</v>
      </c>
      <c r="N158" s="3"/>
      <c r="O158" s="3" t="str">
        <f>IFERROR(__xludf.dummyfunction("""COMPUTED_VALUE"""),"0")</f>
        <v>0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hidden="1" customHeight="1" spans="1:29">
      <c r="A159" s="3"/>
      <c r="B159" s="3" t="str">
        <f t="array" ref="B159">_xlfn.XLOOKUP(D159,Tabela_Dados_Esc_JAB_2026[INEP],Tabela_Dados_Esc_JAB_2026[REGIONAL],"NE",0)</f>
        <v>REGIONAL 5</v>
      </c>
      <c r="C159" s="4" t="str">
        <f>IFERROR(__xludf.dummyfunction("""COMPUTED_VALUE"""),"CEMEI PROFESSORA LINDOMAR DOMINGOS DA SILVA ANJOS")</f>
        <v>CEMEI PROFESSORA LINDOMAR DOMINGOS DA SILVA ANJOS</v>
      </c>
      <c r="D159" s="3" t="str">
        <f>IFERROR(__xludf.dummyfunction("""COMPUTED_VALUE"""),"26191296")</f>
        <v>26191296</v>
      </c>
      <c r="E159" s="3" t="str">
        <f>IFERROR(__xludf.dummyfunction("""COMPUTED_VALUE"""),"INFANTIL 3")</f>
        <v>INFANTIL 3</v>
      </c>
      <c r="F159" s="3" t="str">
        <f>IFERROR(__xludf.dummyfunction("""COMPUTED_VALUE"""),"Integral")</f>
        <v>Integral</v>
      </c>
      <c r="G159" s="3" t="str">
        <f>IFERROR(__xludf.dummyfunction("""COMPUTED_VALUE"""),"Comum")</f>
        <v>Comum</v>
      </c>
      <c r="H159" s="3" t="str">
        <f>IFERROR(__xludf.dummyfunction("""COMPUTED_VALUE"""),"14")</f>
        <v>14</v>
      </c>
      <c r="I159" s="145" t="str">
        <f>IFERROR(__xludf.dummyfunction("""COMPUTED_VALUE"""),"26022285916")</f>
        <v>26022285916</v>
      </c>
      <c r="J159" s="3" t="str">
        <f>IFERROR(__xludf.dummyfunction("""COMPUTED_VALUE"""),"04/02/2026 14:48:24")</f>
        <v>04/02/2026 14:48:24</v>
      </c>
      <c r="K159" s="3" t="str">
        <f>IFERROR(__xludf.dummyfunction("""COMPUTED_VALUE"""),"RAKELLY LÍVIA AVELINA DA SILVA")</f>
        <v>RAKELLY LÍVIA AVELINA DA SILVA</v>
      </c>
      <c r="L159" s="146" t="str">
        <f>IFERROR(__xludf.dummyfunction("""COMPUTED_VALUE"""),"184.728.154-04")</f>
        <v>184.728.154-04</v>
      </c>
      <c r="M159" s="146" t="str">
        <f>IFERROR(__xludf.dummyfunction("""COMPUTED_VALUE"""),"06/03/2023")</f>
        <v>06/03/2023</v>
      </c>
      <c r="N159" s="3"/>
      <c r="O159" s="3" t="str">
        <f>IFERROR(__xludf.dummyfunction("""COMPUTED_VALUE"""),"0")</f>
        <v>0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hidden="1" customHeight="1" spans="1:29">
      <c r="A160" s="3"/>
      <c r="B160" s="3" t="str">
        <f t="array" ref="B160">_xlfn.XLOOKUP(D160,Tabela_Dados_Esc_JAB_2026[INEP],Tabela_Dados_Esc_JAB_2026[REGIONAL],"NE",0)</f>
        <v>REGIONAL 5</v>
      </c>
      <c r="C160" s="4" t="str">
        <f>IFERROR(__xludf.dummyfunction("""COMPUTED_VALUE"""),"CEMEI PROFESSORA LINDOMAR DOMINGOS DA SILVA ANJOS")</f>
        <v>CEMEI PROFESSORA LINDOMAR DOMINGOS DA SILVA ANJOS</v>
      </c>
      <c r="D160" s="3" t="str">
        <f>IFERROR(__xludf.dummyfunction("""COMPUTED_VALUE"""),"26191296")</f>
        <v>26191296</v>
      </c>
      <c r="E160" s="3" t="str">
        <f>IFERROR(__xludf.dummyfunction("""COMPUTED_VALUE"""),"INFANTIL 3")</f>
        <v>INFANTIL 3</v>
      </c>
      <c r="F160" s="3" t="str">
        <f>IFERROR(__xludf.dummyfunction("""COMPUTED_VALUE"""),"Integral")</f>
        <v>Integral</v>
      </c>
      <c r="G160" s="3" t="str">
        <f>IFERROR(__xludf.dummyfunction("""COMPUTED_VALUE"""),"Comum")</f>
        <v>Comum</v>
      </c>
      <c r="H160" s="3" t="str">
        <f>IFERROR(__xludf.dummyfunction("""COMPUTED_VALUE"""),"15")</f>
        <v>15</v>
      </c>
      <c r="I160" s="147" t="str">
        <f>IFERROR(__xludf.dummyfunction("""COMPUTED_VALUE"""),"26022316702")</f>
        <v>26022316702</v>
      </c>
      <c r="J160" s="3" t="str">
        <f>IFERROR(__xludf.dummyfunction("""COMPUTED_VALUE"""),"05/02/2026 15:38:25")</f>
        <v>05/02/2026 15:38:25</v>
      </c>
      <c r="K160" s="3" t="str">
        <f>IFERROR(__xludf.dummyfunction("""COMPUTED_VALUE"""),"ANA LAURA MEDEIROS SOUZA DOS SANTOS")</f>
        <v>ANA LAURA MEDEIROS SOUZA DOS SANTOS</v>
      </c>
      <c r="L160" s="146" t="str">
        <f>IFERROR(__xludf.dummyfunction("""COMPUTED_VALUE"""),"181.899.694-47")</f>
        <v>181.899.694-47</v>
      </c>
      <c r="M160" s="146" t="str">
        <f>IFERROR(__xludf.dummyfunction("""COMPUTED_VALUE"""),"13/06/2022")</f>
        <v>13/06/2022</v>
      </c>
      <c r="N160" s="3"/>
      <c r="O160" s="3" t="str">
        <f>IFERROR(__xludf.dummyfunction("""COMPUTED_VALUE"""),"0")</f>
        <v>0</v>
      </c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hidden="1" customHeight="1" spans="1:29">
      <c r="A161" s="3"/>
      <c r="B161" s="3" t="str">
        <f t="array" ref="B161">_xlfn.XLOOKUP(D161,Tabela_Dados_Esc_JAB_2026[INEP],Tabela_Dados_Esc_JAB_2026[REGIONAL],"NE",0)</f>
        <v>REGIONAL 5</v>
      </c>
      <c r="C161" s="4" t="str">
        <f>IFERROR(__xludf.dummyfunction("""COMPUTED_VALUE"""),"CEMEI PROFESSORA LINDOMAR DOMINGOS DA SILVA ANJOS")</f>
        <v>CEMEI PROFESSORA LINDOMAR DOMINGOS DA SILVA ANJOS</v>
      </c>
      <c r="D161" s="3" t="str">
        <f>IFERROR(__xludf.dummyfunction("""COMPUTED_VALUE"""),"26191296")</f>
        <v>26191296</v>
      </c>
      <c r="E161" s="3" t="str">
        <f>IFERROR(__xludf.dummyfunction("""COMPUTED_VALUE"""),"INFANTIL 3")</f>
        <v>INFANTIL 3</v>
      </c>
      <c r="F161" s="3" t="str">
        <f>IFERROR(__xludf.dummyfunction("""COMPUTED_VALUE"""),"Integral")</f>
        <v>Integral</v>
      </c>
      <c r="G161" s="3" t="str">
        <f>IFERROR(__xludf.dummyfunction("""COMPUTED_VALUE"""),"Comum")</f>
        <v>Comum</v>
      </c>
      <c r="H161" s="3" t="str">
        <f>IFERROR(__xludf.dummyfunction("""COMPUTED_VALUE"""),"16")</f>
        <v>16</v>
      </c>
      <c r="I161" s="147" t="str">
        <f>IFERROR(__xludf.dummyfunction("""COMPUTED_VALUE"""),"26022978795")</f>
        <v>26022978795</v>
      </c>
      <c r="J161" s="3" t="str">
        <f>IFERROR(__xludf.dummyfunction("""COMPUTED_VALUE"""),"06/02/2026 15:36:56")</f>
        <v>06/02/2026 15:36:56</v>
      </c>
      <c r="K161" s="3" t="str">
        <f>IFERROR(__xludf.dummyfunction("""COMPUTED_VALUE"""),"MARIA BEATRIZ DA SILVA")</f>
        <v>MARIA BEATRIZ DA SILVA</v>
      </c>
      <c r="L161" s="146" t="str">
        <f>IFERROR(__xludf.dummyfunction("""COMPUTED_VALUE"""),"183.426.674-21")</f>
        <v>183.426.674-21</v>
      </c>
      <c r="M161" s="146" t="str">
        <f>IFERROR(__xludf.dummyfunction("""COMPUTED_VALUE"""),"13/11/2022")</f>
        <v>13/11/2022</v>
      </c>
      <c r="N161" s="3"/>
      <c r="O161" s="3" t="str">
        <f>IFERROR(__xludf.dummyfunction("""COMPUTED_VALUE"""),"0")</f>
        <v>0</v>
      </c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hidden="1" customHeight="1" spans="1:29">
      <c r="A162" s="3"/>
      <c r="B162" s="3" t="str">
        <f t="array" ref="B162">_xlfn.XLOOKUP(D162,Tabela_Dados_Esc_JAB_2026[INEP],Tabela_Dados_Esc_JAB_2026[REGIONAL],"NE",0)</f>
        <v>REGIONAL 5</v>
      </c>
      <c r="C162" s="4" t="str">
        <f>IFERROR(__xludf.dummyfunction("""COMPUTED_VALUE"""),"CEMEI PROFESSORA LINDOMAR DOMINGOS DA SILVA ANJOS")</f>
        <v>CEMEI PROFESSORA LINDOMAR DOMINGOS DA SILVA ANJOS</v>
      </c>
      <c r="D162" s="3" t="str">
        <f>IFERROR(__xludf.dummyfunction("""COMPUTED_VALUE"""),"26191296")</f>
        <v>26191296</v>
      </c>
      <c r="E162" s="3" t="str">
        <f>IFERROR(__xludf.dummyfunction("""COMPUTED_VALUE"""),"INFANTIL 3")</f>
        <v>INFANTIL 3</v>
      </c>
      <c r="F162" s="3" t="str">
        <f>IFERROR(__xludf.dummyfunction("""COMPUTED_VALUE"""),"Integral")</f>
        <v>Integral</v>
      </c>
      <c r="G162" s="3" t="str">
        <f>IFERROR(__xludf.dummyfunction("""COMPUTED_VALUE"""),"Comum")</f>
        <v>Comum</v>
      </c>
      <c r="H162" s="3" t="str">
        <f>IFERROR(__xludf.dummyfunction("""COMPUTED_VALUE"""),"17")</f>
        <v>17</v>
      </c>
      <c r="I162" s="147" t="str">
        <f>IFERROR(__xludf.dummyfunction("""COMPUTED_VALUE"""),"26022352953")</f>
        <v>26022352953</v>
      </c>
      <c r="J162" s="3" t="str">
        <f>IFERROR(__xludf.dummyfunction("""COMPUTED_VALUE"""),"10/02/2026 09:04:52")</f>
        <v>10/02/2026 09:04:52</v>
      </c>
      <c r="K162" s="3" t="str">
        <f>IFERROR(__xludf.dummyfunction("""COMPUTED_VALUE"""),"ANA CLARA MEDEIROS SOUZA DOS SANTOS")</f>
        <v>ANA CLARA MEDEIROS SOUZA DOS SANTOS</v>
      </c>
      <c r="L162" s="146" t="str">
        <f>IFERROR(__xludf.dummyfunction("""COMPUTED_VALUE"""),"181.899.534-43")</f>
        <v>181.899.534-43</v>
      </c>
      <c r="M162" s="146" t="str">
        <f>IFERROR(__xludf.dummyfunction("""COMPUTED_VALUE"""),"13/06/2022")</f>
        <v>13/06/2022</v>
      </c>
      <c r="N162" s="3"/>
      <c r="O162" s="3" t="str">
        <f>IFERROR(__xludf.dummyfunction("""COMPUTED_VALUE"""),"0")</f>
        <v>0</v>
      </c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hidden="1" customHeight="1" spans="1:29">
      <c r="A163" s="3"/>
      <c r="B163" s="3" t="str">
        <f t="array" ref="B163">_xlfn.XLOOKUP(D163,Tabela_Dados_Esc_JAB_2026[INEP],Tabela_Dados_Esc_JAB_2026[REGIONAL],"NE",0)</f>
        <v>REGIONAL 5</v>
      </c>
      <c r="C163" s="4" t="str">
        <f>IFERROR(__xludf.dummyfunction("""COMPUTED_VALUE"""),"CEMEI PROFESSORA LINDOMAR DOMINGOS DA SILVA ANJOS")</f>
        <v>CEMEI PROFESSORA LINDOMAR DOMINGOS DA SILVA ANJOS</v>
      </c>
      <c r="D163" s="3" t="str">
        <f>IFERROR(__xludf.dummyfunction("""COMPUTED_VALUE"""),"26191296")</f>
        <v>26191296</v>
      </c>
      <c r="E163" s="3" t="str">
        <f>IFERROR(__xludf.dummyfunction("""COMPUTED_VALUE"""),"INFANTIL 3")</f>
        <v>INFANTIL 3</v>
      </c>
      <c r="F163" s="3" t="str">
        <f>IFERROR(__xludf.dummyfunction("""COMPUTED_VALUE"""),"Integral")</f>
        <v>Integral</v>
      </c>
      <c r="G163" s="3" t="str">
        <f>IFERROR(__xludf.dummyfunction("""COMPUTED_VALUE"""),"Comum")</f>
        <v>Comum</v>
      </c>
      <c r="H163" s="3" t="str">
        <f>IFERROR(__xludf.dummyfunction("""COMPUTED_VALUE"""),"18")</f>
        <v>18</v>
      </c>
      <c r="I163" s="147" t="str">
        <f>IFERROR(__xludf.dummyfunction("""COMPUTED_VALUE"""),"26022728482")</f>
        <v>26022728482</v>
      </c>
      <c r="J163" s="3" t="str">
        <f>IFERROR(__xludf.dummyfunction("""COMPUTED_VALUE"""),"10/02/2026 10:01:04")</f>
        <v>10/02/2026 10:01:04</v>
      </c>
      <c r="K163" s="3" t="str">
        <f>IFERROR(__xludf.dummyfunction("""COMPUTED_VALUE"""),"RAYANE VITÓRIA DA SILVA MARAVILHA")</f>
        <v>RAYANE VITÓRIA DA SILVA MARAVILHA</v>
      </c>
      <c r="L163" s="146" t="str">
        <f>IFERROR(__xludf.dummyfunction("""COMPUTED_VALUE"""),"182.666.294-47")</f>
        <v>182.666.294-47</v>
      </c>
      <c r="M163" s="146" t="str">
        <f>IFERROR(__xludf.dummyfunction("""COMPUTED_VALUE"""),"22/08/2022")</f>
        <v>22/08/2022</v>
      </c>
      <c r="N163" s="3"/>
      <c r="O163" s="3" t="str">
        <f>IFERROR(__xludf.dummyfunction("""COMPUTED_VALUE"""),"0")</f>
        <v>0</v>
      </c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hidden="1" customHeight="1" spans="1:29">
      <c r="A164" s="3"/>
      <c r="B164" s="3" t="str">
        <f t="array" ref="B164">_xlfn.XLOOKUP(D164,Tabela_Dados_Esc_JAB_2026[INEP],Tabela_Dados_Esc_JAB_2026[REGIONAL],"NE",0)</f>
        <v>REGIONAL 5</v>
      </c>
      <c r="C164" s="4" t="str">
        <f>IFERROR(__xludf.dummyfunction("""COMPUTED_VALUE"""),"CEMEI PROFESSORA LINDOMAR DOMINGOS DA SILVA ANJOS")</f>
        <v>CEMEI PROFESSORA LINDOMAR DOMINGOS DA SILVA ANJOS</v>
      </c>
      <c r="D164" s="3" t="str">
        <f>IFERROR(__xludf.dummyfunction("""COMPUTED_VALUE"""),"26191296")</f>
        <v>26191296</v>
      </c>
      <c r="E164" s="3" t="str">
        <f>IFERROR(__xludf.dummyfunction("""COMPUTED_VALUE"""),"INFANTIL 3")</f>
        <v>INFANTIL 3</v>
      </c>
      <c r="F164" s="3" t="str">
        <f>IFERROR(__xludf.dummyfunction("""COMPUTED_VALUE"""),"Integral")</f>
        <v>Integral</v>
      </c>
      <c r="G164" s="3" t="str">
        <f>IFERROR(__xludf.dummyfunction("""COMPUTED_VALUE"""),"Comum")</f>
        <v>Comum</v>
      </c>
      <c r="H164" s="3" t="str">
        <f>IFERROR(__xludf.dummyfunction("""COMPUTED_VALUE"""),"19")</f>
        <v>19</v>
      </c>
      <c r="I164" s="147" t="str">
        <f>IFERROR(__xludf.dummyfunction("""COMPUTED_VALUE"""),"26022801517")</f>
        <v>26022801517</v>
      </c>
      <c r="J164" s="3" t="str">
        <f>IFERROR(__xludf.dummyfunction("""COMPUTED_VALUE"""),"19/02/2026 09:51:04")</f>
        <v>19/02/2026 09:51:04</v>
      </c>
      <c r="K164" s="3" t="str">
        <f>IFERROR(__xludf.dummyfunction("""COMPUTED_VALUE"""),"ANNA LAURA BATISTA SILVA")</f>
        <v>ANNA LAURA BATISTA SILVA</v>
      </c>
      <c r="L164" s="146" t="str">
        <f>IFERROR(__xludf.dummyfunction("""COMPUTED_VALUE"""),"183.545.274-41")</f>
        <v>183.545.274-41</v>
      </c>
      <c r="M164" s="146" t="str">
        <f>IFERROR(__xludf.dummyfunction("""COMPUTED_VALUE"""),"28/08/2022")</f>
        <v>28/08/2022</v>
      </c>
      <c r="N164" s="3"/>
      <c r="O164" s="3" t="str">
        <f>IFERROR(__xludf.dummyfunction("""COMPUTED_VALUE"""),"0")</f>
        <v>0</v>
      </c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hidden="1" customHeight="1" spans="1:29">
      <c r="A165" s="3"/>
      <c r="B165" s="3" t="str">
        <f t="array" ref="B165">_xlfn.XLOOKUP(D165,Tabela_Dados_Esc_JAB_2026[INEP],Tabela_Dados_Esc_JAB_2026[REGIONAL],"NE",0)</f>
        <v>REGIONAL 5</v>
      </c>
      <c r="C165" s="4" t="str">
        <f>IFERROR(__xludf.dummyfunction("""COMPUTED_VALUE"""),"CEMEI PROFESSORA LINDOMAR DOMINGOS DA SILVA ANJOS")</f>
        <v>CEMEI PROFESSORA LINDOMAR DOMINGOS DA SILVA ANJOS</v>
      </c>
      <c r="D165" s="3" t="str">
        <f>IFERROR(__xludf.dummyfunction("""COMPUTED_VALUE"""),"26191296")</f>
        <v>26191296</v>
      </c>
      <c r="E165" s="3" t="str">
        <f>IFERROR(__xludf.dummyfunction("""COMPUTED_VALUE"""),"INFANTIL 3")</f>
        <v>INFANTIL 3</v>
      </c>
      <c r="F165" s="3" t="str">
        <f>IFERROR(__xludf.dummyfunction("""COMPUTED_VALUE"""),"Integral")</f>
        <v>Integral</v>
      </c>
      <c r="G165" s="3" t="str">
        <f>IFERROR(__xludf.dummyfunction("""COMPUTED_VALUE"""),"Comum")</f>
        <v>Comum</v>
      </c>
      <c r="H165" s="3" t="str">
        <f>IFERROR(__xludf.dummyfunction("""COMPUTED_VALUE"""),"20")</f>
        <v>20</v>
      </c>
      <c r="I165" s="147" t="str">
        <f>IFERROR(__xludf.dummyfunction("""COMPUTED_VALUE"""),"26022185383")</f>
        <v>26022185383</v>
      </c>
      <c r="J165" s="3" t="str">
        <f>IFERROR(__xludf.dummyfunction("""COMPUTED_VALUE"""),"19/02/2026 16:10:29")</f>
        <v>19/02/2026 16:10:29</v>
      </c>
      <c r="K165" s="3" t="str">
        <f>IFERROR(__xludf.dummyfunction("""COMPUTED_VALUE"""),"LIZ FERREIRA LEODORO")</f>
        <v>LIZ FERREIRA LEODORO</v>
      </c>
      <c r="L165" s="146" t="str">
        <f>IFERROR(__xludf.dummyfunction("""COMPUTED_VALUE"""),"182.291.174-54")</f>
        <v>182.291.174-54</v>
      </c>
      <c r="M165" s="146" t="str">
        <f>IFERROR(__xludf.dummyfunction("""COMPUTED_VALUE"""),"19/07/2022")</f>
        <v>19/07/2022</v>
      </c>
      <c r="N165" s="3"/>
      <c r="O165" s="3" t="str">
        <f>IFERROR(__xludf.dummyfunction("""COMPUTED_VALUE"""),"0")</f>
        <v>0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hidden="1" customHeight="1" spans="1:29">
      <c r="A166" s="3"/>
      <c r="B166" s="3" t="str">
        <f t="array" ref="B166">_xlfn.XLOOKUP(D166,Tabela_Dados_Esc_JAB_2026[INEP],Tabela_Dados_Esc_JAB_2026[REGIONAL],"NE",0)</f>
        <v>REGIONAL 5</v>
      </c>
      <c r="C166" s="4" t="str">
        <f>IFERROR(__xludf.dummyfunction("""COMPUTED_VALUE"""),"CEMEI PROFESSORA LINDOMAR DOMINGOS DA SILVA ANJOS")</f>
        <v>CEMEI PROFESSORA LINDOMAR DOMINGOS DA SILVA ANJOS</v>
      </c>
      <c r="D166" s="3" t="str">
        <f>IFERROR(__xludf.dummyfunction("""COMPUTED_VALUE"""),"26191296")</f>
        <v>26191296</v>
      </c>
      <c r="E166" s="3" t="str">
        <f>IFERROR(__xludf.dummyfunction("""COMPUTED_VALUE"""),"INFANTIL 3")</f>
        <v>INFANTIL 3</v>
      </c>
      <c r="F166" s="3" t="str">
        <f>IFERROR(__xludf.dummyfunction("""COMPUTED_VALUE"""),"Integral")</f>
        <v>Integral</v>
      </c>
      <c r="G166" s="3" t="str">
        <f>IFERROR(__xludf.dummyfunction("""COMPUTED_VALUE"""),"Comum")</f>
        <v>Comum</v>
      </c>
      <c r="H166" s="3" t="str">
        <f>IFERROR(__xludf.dummyfunction("""COMPUTED_VALUE"""),"21")</f>
        <v>21</v>
      </c>
      <c r="I166" s="147" t="str">
        <f>IFERROR(__xludf.dummyfunction("""COMPUTED_VALUE"""),"26032195165")</f>
        <v>26032195165</v>
      </c>
      <c r="J166" s="3" t="str">
        <f>IFERROR(__xludf.dummyfunction("""COMPUTED_VALUE"""),"03/03/2026 13:51:57")</f>
        <v>03/03/2026 13:51:57</v>
      </c>
      <c r="K166" s="3" t="str">
        <f>IFERROR(__xludf.dummyfunction("""COMPUTED_VALUE"""),"THEO RAFAEL DEODATO DE MEDEIROS")</f>
        <v>THEO RAFAEL DEODATO DE MEDEIROS</v>
      </c>
      <c r="L166" s="146" t="str">
        <f>IFERROR(__xludf.dummyfunction("""COMPUTED_VALUE"""),"184.730.544-07")</f>
        <v>184.730.544-07</v>
      </c>
      <c r="M166" s="146" t="str">
        <f>IFERROR(__xludf.dummyfunction("""COMPUTED_VALUE"""),"15/03/2023")</f>
        <v>15/03/2023</v>
      </c>
      <c r="N166" s="3"/>
      <c r="O166" s="3" t="str">
        <f>IFERROR(__xludf.dummyfunction("""COMPUTED_VALUE"""),"0")</f>
        <v>0</v>
      </c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hidden="1" customHeight="1" spans="1:29">
      <c r="A167" s="3"/>
      <c r="B167" s="3" t="str">
        <f t="array" ref="B167">_xlfn.XLOOKUP(D167,Tabela_Dados_Esc_JAB_2026[INEP],Tabela_Dados_Esc_JAB_2026[REGIONAL],"NE",0)</f>
        <v>REGIONAL 5</v>
      </c>
      <c r="C167" s="4" t="str">
        <f>IFERROR(__xludf.dummyfunction("""COMPUTED_VALUE"""),"CEMEI PROFESSORA LINDOMAR DOMINGOS DA SILVA ANJOS")</f>
        <v>CEMEI PROFESSORA LINDOMAR DOMINGOS DA SILVA ANJOS</v>
      </c>
      <c r="D167" s="3" t="str">
        <f>IFERROR(__xludf.dummyfunction("""COMPUTED_VALUE"""),"26191296")</f>
        <v>26191296</v>
      </c>
      <c r="E167" s="3" t="str">
        <f>IFERROR(__xludf.dummyfunction("""COMPUTED_VALUE"""),"INFANTIL 3")</f>
        <v>INFANTIL 3</v>
      </c>
      <c r="F167" s="3" t="str">
        <f>IFERROR(__xludf.dummyfunction("""COMPUTED_VALUE"""),"Integral")</f>
        <v>Integral</v>
      </c>
      <c r="G167" s="3" t="str">
        <f>IFERROR(__xludf.dummyfunction("""COMPUTED_VALUE"""),"Comum")</f>
        <v>Comum</v>
      </c>
      <c r="H167" s="3" t="str">
        <f>IFERROR(__xludf.dummyfunction("""COMPUTED_VALUE"""),"22")</f>
        <v>22</v>
      </c>
      <c r="I167" s="147" t="str">
        <f>IFERROR(__xludf.dummyfunction("""COMPUTED_VALUE"""),"26032930723")</f>
        <v>26032930723</v>
      </c>
      <c r="J167" s="3" t="str">
        <f>IFERROR(__xludf.dummyfunction("""COMPUTED_VALUE"""),"24/03/2026 15:33:58")</f>
        <v>24/03/2026 15:33:58</v>
      </c>
      <c r="K167" s="3" t="str">
        <f>IFERROR(__xludf.dummyfunction("""COMPUTED_VALUE"""),"AYLLA VITÓRIA CAETANO DOS SANTOS")</f>
        <v>AYLLA VITÓRIA CAETANO DOS SANTOS</v>
      </c>
      <c r="L167" s="146" t="str">
        <f>IFERROR(__xludf.dummyfunction("""COMPUTED_VALUE"""),"093.237.424-73")</f>
        <v>093.237.424-73</v>
      </c>
      <c r="M167" s="146" t="str">
        <f>IFERROR(__xludf.dummyfunction("""COMPUTED_VALUE"""),"06/10/2022")</f>
        <v>06/10/2022</v>
      </c>
      <c r="N167" s="3"/>
      <c r="O167" s="3" t="str">
        <f>IFERROR(__xludf.dummyfunction("""COMPUTED_VALUE"""),"0")</f>
        <v>0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hidden="1" customHeight="1" spans="1:29">
      <c r="A168" s="3"/>
      <c r="B168" s="3" t="str">
        <f t="array" ref="B168">_xlfn.XLOOKUP(D168,Tabela_Dados_Esc_JAB_2026[INEP],Tabela_Dados_Esc_JAB_2026[REGIONAL],"NE",0)</f>
        <v>REGIONAL 5</v>
      </c>
      <c r="C168" s="4" t="str">
        <f>IFERROR(__xludf.dummyfunction("""COMPUTED_VALUE"""),"CEMEI PROFESSORA LINDOMAR DOMINGOS DA SILVA ANJOS")</f>
        <v>CEMEI PROFESSORA LINDOMAR DOMINGOS DA SILVA ANJOS</v>
      </c>
      <c r="D168" s="3" t="str">
        <f>IFERROR(__xludf.dummyfunction("""COMPUTED_VALUE"""),"26191296")</f>
        <v>26191296</v>
      </c>
      <c r="E168" s="3" t="str">
        <f>IFERROR(__xludf.dummyfunction("""COMPUTED_VALUE"""),"INFANTIL 3")</f>
        <v>INFANTIL 3</v>
      </c>
      <c r="F168" s="3" t="str">
        <f>IFERROR(__xludf.dummyfunction("""COMPUTED_VALUE"""),"Integral")</f>
        <v>Integral</v>
      </c>
      <c r="G168" s="3" t="str">
        <f>IFERROR(__xludf.dummyfunction("""COMPUTED_VALUE"""),"Comum")</f>
        <v>Comum</v>
      </c>
      <c r="H168" s="3" t="str">
        <f>IFERROR(__xludf.dummyfunction("""COMPUTED_VALUE"""),"23")</f>
        <v>23</v>
      </c>
      <c r="I168" s="147" t="str">
        <f>IFERROR(__xludf.dummyfunction("""COMPUTED_VALUE"""),"26042357277")</f>
        <v>26042357277</v>
      </c>
      <c r="J168" s="3" t="str">
        <f>IFERROR(__xludf.dummyfunction("""COMPUTED_VALUE"""),"09/04/2026 12:42:59")</f>
        <v>09/04/2026 12:42:59</v>
      </c>
      <c r="K168" s="3" t="str">
        <f>IFERROR(__xludf.dummyfunction("""COMPUTED_VALUE"""),"TAWANE EMANUELLEY DA SILVA")</f>
        <v>TAWANE EMANUELLEY DA SILVA</v>
      </c>
      <c r="L168" s="146" t="str">
        <f>IFERROR(__xludf.dummyfunction("""COMPUTED_VALUE"""),"183.002.884-73")</f>
        <v>183.002.884-73</v>
      </c>
      <c r="M168" s="146" t="str">
        <f>IFERROR(__xludf.dummyfunction("""COMPUTED_VALUE"""),"28/09/2022")</f>
        <v>28/09/2022</v>
      </c>
      <c r="N168" s="3"/>
      <c r="O168" s="3" t="str">
        <f>IFERROR(__xludf.dummyfunction("""COMPUTED_VALUE"""),"0")</f>
        <v>0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hidden="1" customHeight="1" spans="1:29">
      <c r="A169" s="3"/>
      <c r="B169" s="3" t="str">
        <f t="array" ref="B169">_xlfn.XLOOKUP(D169,Tabela_Dados_Esc_JAB_2026[INEP],Tabela_Dados_Esc_JAB_2026[REGIONAL],"NE",0)</f>
        <v>REGIONAL 5</v>
      </c>
      <c r="C169" s="4" t="str">
        <f>IFERROR(__xludf.dummyfunction("""COMPUTED_VALUE"""),"CEMEI PROFESSORA LINDOMAR DOMINGOS DA SILVA ANJOS")</f>
        <v>CEMEI PROFESSORA LINDOMAR DOMINGOS DA SILVA ANJOS</v>
      </c>
      <c r="D169" s="3" t="str">
        <f>IFERROR(__xludf.dummyfunction("""COMPUTED_VALUE"""),"26191296")</f>
        <v>26191296</v>
      </c>
      <c r="E169" s="3" t="str">
        <f>IFERROR(__xludf.dummyfunction("""COMPUTED_VALUE"""),"INFANTIL 3")</f>
        <v>INFANTIL 3</v>
      </c>
      <c r="F169" s="3" t="str">
        <f>IFERROR(__xludf.dummyfunction("""COMPUTED_VALUE"""),"Integral")</f>
        <v>Integral</v>
      </c>
      <c r="G169" s="3" t="str">
        <f>IFERROR(__xludf.dummyfunction("""COMPUTED_VALUE"""),"Comum")</f>
        <v>Comum</v>
      </c>
      <c r="H169" s="3" t="str">
        <f>IFERROR(__xludf.dummyfunction("""COMPUTED_VALUE"""),"24")</f>
        <v>24</v>
      </c>
      <c r="I169" s="147" t="str">
        <f>IFERROR(__xludf.dummyfunction("""COMPUTED_VALUE"""),"26042287215")</f>
        <v>26042287215</v>
      </c>
      <c r="J169" s="3" t="str">
        <f>IFERROR(__xludf.dummyfunction("""COMPUTED_VALUE"""),"15/04/2026 12:12:34")</f>
        <v>15/04/2026 12:12:34</v>
      </c>
      <c r="K169" s="3" t="str">
        <f>IFERROR(__xludf.dummyfunction("""COMPUTED_VALUE"""),"LARA MARIA MARTINS DO CARMO")</f>
        <v>LARA MARIA MARTINS DO CARMO</v>
      </c>
      <c r="L169" s="146" t="str">
        <f>IFERROR(__xludf.dummyfunction("""COMPUTED_VALUE"""),"181.852.304-39")</f>
        <v>181.852.304-39</v>
      </c>
      <c r="M169" s="146" t="str">
        <f>IFERROR(__xludf.dummyfunction("""COMPUTED_VALUE"""),"15/05/2022")</f>
        <v>15/05/2022</v>
      </c>
      <c r="N169" s="3"/>
      <c r="O169" s="3" t="str">
        <f>IFERROR(__xludf.dummyfunction("""COMPUTED_VALUE"""),"0")</f>
        <v>0</v>
      </c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hidden="1" customHeight="1" spans="1:29">
      <c r="A170" s="3"/>
      <c r="B170" s="3" t="str">
        <f t="array" ref="B170">_xlfn.XLOOKUP(D170,Tabela_Dados_Esc_JAB_2026[INEP],Tabela_Dados_Esc_JAB_2026[REGIONAL],"NE",0)</f>
        <v>REGIONAL 5</v>
      </c>
      <c r="C170" s="4" t="str">
        <f>IFERROR(__xludf.dummyfunction("""COMPUTED_VALUE"""),"CEMEI PROFESSORA LINDOMAR DOMINGOS DA SILVA ANJOS")</f>
        <v>CEMEI PROFESSORA LINDOMAR DOMINGOS DA SILVA ANJOS</v>
      </c>
      <c r="D170" s="3" t="str">
        <f>IFERROR(__xludf.dummyfunction("""COMPUTED_VALUE"""),"26191296")</f>
        <v>26191296</v>
      </c>
      <c r="E170" s="3" t="str">
        <f>IFERROR(__xludf.dummyfunction("""COMPUTED_VALUE"""),"INFANTIL 3")</f>
        <v>INFANTIL 3</v>
      </c>
      <c r="F170" s="3" t="str">
        <f>IFERROR(__xludf.dummyfunction("""COMPUTED_VALUE"""),"Integral")</f>
        <v>Integral</v>
      </c>
      <c r="G170" s="3" t="str">
        <f>IFERROR(__xludf.dummyfunction("""COMPUTED_VALUE"""),"Comum")</f>
        <v>Comum</v>
      </c>
      <c r="H170" s="3" t="str">
        <f>IFERROR(__xludf.dummyfunction("""COMPUTED_VALUE"""),"25")</f>
        <v>25</v>
      </c>
      <c r="I170" s="147" t="str">
        <f>IFERROR(__xludf.dummyfunction("""COMPUTED_VALUE"""),"26042803670")</f>
        <v>26042803670</v>
      </c>
      <c r="J170" s="3" t="str">
        <f>IFERROR(__xludf.dummyfunction("""COMPUTED_VALUE"""),"15/04/2026 20:08:01")</f>
        <v>15/04/2026 20:08:01</v>
      </c>
      <c r="K170" s="3" t="str">
        <f>IFERROR(__xludf.dummyfunction("""COMPUTED_VALUE"""),"MARIA LIZ VIEIRA DA SILVA")</f>
        <v>MARIA LIZ VIEIRA DA SILVA</v>
      </c>
      <c r="L170" s="146" t="str">
        <f>IFERROR(__xludf.dummyfunction("""COMPUTED_VALUE"""),"184.686.634-09")</f>
        <v>184.686.634-09</v>
      </c>
      <c r="M170" s="146" t="str">
        <f>IFERROR(__xludf.dummyfunction("""COMPUTED_VALUE"""),"06/03/2023")</f>
        <v>06/03/2023</v>
      </c>
      <c r="N170" s="3"/>
      <c r="O170" s="3" t="str">
        <f>IFERROR(__xludf.dummyfunction("""COMPUTED_VALUE"""),"0")</f>
        <v>0</v>
      </c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hidden="1" customHeight="1" spans="1:29">
      <c r="A171" s="3"/>
      <c r="B171" s="3" t="str">
        <f t="array" ref="B171">_xlfn.XLOOKUP(D171,Tabela_Dados_Esc_JAB_2026[INEP],Tabela_Dados_Esc_JAB_2026[REGIONAL],"NE",0)</f>
        <v>REGIONAL 5</v>
      </c>
      <c r="C171" s="4" t="str">
        <f>IFERROR(__xludf.dummyfunction("""COMPUTED_VALUE"""),"CEMEI PROFESSORA LINDOMAR DOMINGOS DA SILVA ANJOS")</f>
        <v>CEMEI PROFESSORA LINDOMAR DOMINGOS DA SILVA ANJOS</v>
      </c>
      <c r="D171" s="3" t="str">
        <f>IFERROR(__xludf.dummyfunction("""COMPUTED_VALUE"""),"26191296")</f>
        <v>26191296</v>
      </c>
      <c r="E171" s="3" t="str">
        <f>IFERROR(__xludf.dummyfunction("""COMPUTED_VALUE"""),"INFANTIL 3")</f>
        <v>INFANTIL 3</v>
      </c>
      <c r="F171" s="3" t="str">
        <f>IFERROR(__xludf.dummyfunction("""COMPUTED_VALUE"""),"Integral")</f>
        <v>Integral</v>
      </c>
      <c r="G171" s="3" t="str">
        <f>IFERROR(__xludf.dummyfunction("""COMPUTED_VALUE"""),"Comum")</f>
        <v>Comum</v>
      </c>
      <c r="H171" s="3" t="str">
        <f>IFERROR(__xludf.dummyfunction("""COMPUTED_VALUE"""),"26")</f>
        <v>26</v>
      </c>
      <c r="I171" s="147" t="str">
        <f>IFERROR(__xludf.dummyfunction("""COMPUTED_VALUE"""),"26042027120")</f>
        <v>26042027120</v>
      </c>
      <c r="J171" s="3" t="str">
        <f>IFERROR(__xludf.dummyfunction("""COMPUTED_VALUE"""),"24/04/2026 15:30:49")</f>
        <v>24/04/2026 15:30:49</v>
      </c>
      <c r="K171" s="3" t="str">
        <f>IFERROR(__xludf.dummyfunction("""COMPUTED_VALUE"""),"LAURA GABRIELY DA SILVA MELO")</f>
        <v>LAURA GABRIELY DA SILVA MELO</v>
      </c>
      <c r="L171" s="146" t="str">
        <f>IFERROR(__xludf.dummyfunction("""COMPUTED_VALUE"""),"182.841.544-80")</f>
        <v>182.841.544-80</v>
      </c>
      <c r="M171" s="146" t="str">
        <f>IFERROR(__xludf.dummyfunction("""COMPUTED_VALUE"""),"27/07/2022")</f>
        <v>27/07/2022</v>
      </c>
      <c r="N171" s="3"/>
      <c r="O171" s="3" t="str">
        <f>IFERROR(__xludf.dummyfunction("""COMPUTED_VALUE"""),"0")</f>
        <v>0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hidden="1" customHeight="1" spans="1:29">
      <c r="A172" s="3"/>
      <c r="B172" s="3" t="str">
        <f t="array" ref="B172">_xlfn.XLOOKUP(D172,Tabela_Dados_Esc_JAB_2026[INEP],Tabela_Dados_Esc_JAB_2026[REGIONAL],"NE",0)</f>
        <v>REGIONAL 5</v>
      </c>
      <c r="C172" s="4" t="str">
        <f>IFERROR(__xludf.dummyfunction("""COMPUTED_VALUE"""),"CEMEI PROFESSORA LINDOMAR DOMINGOS DA SILVA ANJOS")</f>
        <v>CEMEI PROFESSORA LINDOMAR DOMINGOS DA SILVA ANJOS</v>
      </c>
      <c r="D172" s="3" t="str">
        <f>IFERROR(__xludf.dummyfunction("""COMPUTED_VALUE"""),"26191296")</f>
        <v>26191296</v>
      </c>
      <c r="E172" s="3" t="str">
        <f>IFERROR(__xludf.dummyfunction("""COMPUTED_VALUE"""),"INFANTIL 3")</f>
        <v>INFANTIL 3</v>
      </c>
      <c r="F172" s="3" t="str">
        <f>IFERROR(__xludf.dummyfunction("""COMPUTED_VALUE"""),"Integral")</f>
        <v>Integral</v>
      </c>
      <c r="G172" s="3" t="str">
        <f>IFERROR(__xludf.dummyfunction("""COMPUTED_VALUE"""),"Comum")</f>
        <v>Comum</v>
      </c>
      <c r="H172" s="3" t="str">
        <f>IFERROR(__xludf.dummyfunction("""COMPUTED_VALUE"""),"27")</f>
        <v>27</v>
      </c>
      <c r="I172" s="147" t="str">
        <f>IFERROR(__xludf.dummyfunction("""COMPUTED_VALUE"""),"26052737695")</f>
        <v>26052737695</v>
      </c>
      <c r="J172" s="3" t="str">
        <f>IFERROR(__xludf.dummyfunction("""COMPUTED_VALUE"""),"13/05/2026 09:51:31")</f>
        <v>13/05/2026 09:51:31</v>
      </c>
      <c r="K172" s="3" t="str">
        <f>IFERROR(__xludf.dummyfunction("""COMPUTED_VALUE"""),"ANTHONY TAYLOR MARTINS DO NASCIMENTO")</f>
        <v>ANTHONY TAYLOR MARTINS DO NASCIMENTO</v>
      </c>
      <c r="L172" s="146" t="str">
        <f>IFERROR(__xludf.dummyfunction("""COMPUTED_VALUE"""),"608.940.818-29")</f>
        <v>608.940.818-29</v>
      </c>
      <c r="M172" s="146" t="str">
        <f>IFERROR(__xludf.dummyfunction("""COMPUTED_VALUE"""),"23/02/2023")</f>
        <v>23/02/2023</v>
      </c>
      <c r="N172" s="3"/>
      <c r="O172" s="3" t="str">
        <f>IFERROR(__xludf.dummyfunction("""COMPUTED_VALUE"""),"0")</f>
        <v>0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hidden="1" customHeight="1" spans="1:29">
      <c r="A173" s="3"/>
      <c r="B173" s="3" t="str">
        <f t="array" ref="B173">_xlfn.XLOOKUP(D173,Tabela_Dados_Esc_JAB_2026[INEP],Tabela_Dados_Esc_JAB_2026[REGIONAL],"NE",0)</f>
        <v>REGIONAL 5</v>
      </c>
      <c r="C173" s="4" t="str">
        <f>IFERROR(__xludf.dummyfunction("""COMPUTED_VALUE"""),"CEMEI PROFESSORA LINDOMAR DOMINGOS DA SILVA ANJOS")</f>
        <v>CEMEI PROFESSORA LINDOMAR DOMINGOS DA SILVA ANJOS</v>
      </c>
      <c r="D173" s="3" t="str">
        <f>IFERROR(__xludf.dummyfunction("""COMPUTED_VALUE"""),"26191296")</f>
        <v>26191296</v>
      </c>
      <c r="E173" s="3" t="str">
        <f>IFERROR(__xludf.dummyfunction("""COMPUTED_VALUE"""),"INFANTIL 3")</f>
        <v>INFANTIL 3</v>
      </c>
      <c r="F173" s="3" t="str">
        <f>IFERROR(__xludf.dummyfunction("""COMPUTED_VALUE"""),"Integral")</f>
        <v>Integral</v>
      </c>
      <c r="G173" s="3" t="str">
        <f>IFERROR(__xludf.dummyfunction("""COMPUTED_VALUE"""),"Comum")</f>
        <v>Comum</v>
      </c>
      <c r="H173" s="3" t="str">
        <f>IFERROR(__xludf.dummyfunction("""COMPUTED_VALUE"""),"28")</f>
        <v>28</v>
      </c>
      <c r="I173" s="147" t="str">
        <f>IFERROR(__xludf.dummyfunction("""COMPUTED_VALUE"""),"26052604683")</f>
        <v>26052604683</v>
      </c>
      <c r="J173" s="3" t="str">
        <f>IFERROR(__xludf.dummyfunction("""COMPUTED_VALUE"""),"23/05/2026 20:29:57")</f>
        <v>23/05/2026 20:29:57</v>
      </c>
      <c r="K173" s="3" t="str">
        <f>IFERROR(__xludf.dummyfunction("""COMPUTED_VALUE"""),"Hiago Mario Alves Tavares Mendes")</f>
        <v>Hiago Mario Alves Tavares Mendes</v>
      </c>
      <c r="L173" s="146" t="str">
        <f>IFERROR(__xludf.dummyfunction("""COMPUTED_VALUE"""),"183.316.044-40")</f>
        <v>183.316.044-40</v>
      </c>
      <c r="M173" s="146" t="str">
        <f>IFERROR(__xludf.dummyfunction("""COMPUTED_VALUE"""),"03/11/2022")</f>
        <v>03/11/2022</v>
      </c>
      <c r="N173" s="3"/>
      <c r="O173" s="3" t="str">
        <f>IFERROR(__xludf.dummyfunction("""COMPUTED_VALUE"""),"0")</f>
        <v>0</v>
      </c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hidden="1" customHeight="1" spans="1:29">
      <c r="A174" s="3"/>
      <c r="B174" s="3" t="str">
        <f t="array" ref="B174">_xlfn.XLOOKUP(D174,Tabela_Dados_Esc_JAB_2026[INEP],Tabela_Dados_Esc_JAB_2026[REGIONAL],"NE",0)</f>
        <v>REGIONAL 5</v>
      </c>
      <c r="C174" s="4" t="str">
        <f>IFERROR(__xludf.dummyfunction("""COMPUTED_VALUE"""),"CEMEI PROFESSORA LINDOMAR DOMINGOS DA SILVA ANJOS")</f>
        <v>CEMEI PROFESSORA LINDOMAR DOMINGOS DA SILVA ANJOS</v>
      </c>
      <c r="D174" s="3" t="str">
        <f>IFERROR(__xludf.dummyfunction("""COMPUTED_VALUE"""),"26191296")</f>
        <v>26191296</v>
      </c>
      <c r="E174" s="3" t="str">
        <f>IFERROR(__xludf.dummyfunction("""COMPUTED_VALUE"""),"INFANTIL 3")</f>
        <v>INFANTIL 3</v>
      </c>
      <c r="F174" s="3" t="str">
        <f>IFERROR(__xludf.dummyfunction("""COMPUTED_VALUE"""),"Integral")</f>
        <v>Integral</v>
      </c>
      <c r="G174" s="3" t="str">
        <f>IFERROR(__xludf.dummyfunction("""COMPUTED_VALUE"""),"Comum")</f>
        <v>Comum</v>
      </c>
      <c r="H174" s="3" t="str">
        <f>IFERROR(__xludf.dummyfunction("""COMPUTED_VALUE"""),"29")</f>
        <v>29</v>
      </c>
      <c r="I174" s="147" t="str">
        <f>IFERROR(__xludf.dummyfunction("""COMPUTED_VALUE"""),"26062798960")</f>
        <v>26062798960</v>
      </c>
      <c r="J174" s="3" t="str">
        <f>IFERROR(__xludf.dummyfunction("""COMPUTED_VALUE"""),"01/06/2026 08:29:45")</f>
        <v>01/06/2026 08:29:45</v>
      </c>
      <c r="K174" s="3" t="str">
        <f>IFERROR(__xludf.dummyfunction("""COMPUTED_VALUE"""),"BERNARDO DAVINO DE ARAÚJO")</f>
        <v>BERNARDO DAVINO DE ARAÚJO</v>
      </c>
      <c r="L174" s="146" t="str">
        <f>IFERROR(__xludf.dummyfunction("""COMPUTED_VALUE"""),"182.453.294-60")</f>
        <v>182.453.294-60</v>
      </c>
      <c r="M174" s="146" t="str">
        <f>IFERROR(__xludf.dummyfunction("""COMPUTED_VALUE"""),"29/07/2022")</f>
        <v>29/07/2022</v>
      </c>
      <c r="N174" s="3"/>
      <c r="O174" s="3" t="str">
        <f>IFERROR(__xludf.dummyfunction("""COMPUTED_VALUE"""),"0")</f>
        <v>0</v>
      </c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hidden="1" customHeight="1" spans="1:29">
      <c r="A175" s="3"/>
      <c r="B175" s="3" t="str">
        <f t="array" ref="B175">_xlfn.XLOOKUP(D175,Tabela_Dados_Esc_JAB_2026[INEP],Tabela_Dados_Esc_JAB_2026[REGIONAL],"NE",0)</f>
        <v>REGIONAL 5</v>
      </c>
      <c r="C175" s="4" t="str">
        <f>IFERROR(__xludf.dummyfunction("""COMPUTED_VALUE"""),"CEMEI PROFESSORA LINDOMAR DOMINGOS DA SILVA ANJOS")</f>
        <v>CEMEI PROFESSORA LINDOMAR DOMINGOS DA SILVA ANJOS</v>
      </c>
      <c r="D175" s="3" t="str">
        <f>IFERROR(__xludf.dummyfunction("""COMPUTED_VALUE"""),"26191296")</f>
        <v>26191296</v>
      </c>
      <c r="E175" s="3" t="str">
        <f>IFERROR(__xludf.dummyfunction("""COMPUTED_VALUE"""),"INFANTIL 3")</f>
        <v>INFANTIL 3</v>
      </c>
      <c r="F175" s="3" t="str">
        <f>IFERROR(__xludf.dummyfunction("""COMPUTED_VALUE"""),"Integral")</f>
        <v>Integral</v>
      </c>
      <c r="G175" s="3" t="str">
        <f>IFERROR(__xludf.dummyfunction("""COMPUTED_VALUE"""),"Comum")</f>
        <v>Comum</v>
      </c>
      <c r="H175" s="3" t="str">
        <f>IFERROR(__xludf.dummyfunction("""COMPUTED_VALUE"""),"30")</f>
        <v>30</v>
      </c>
      <c r="I175" s="147" t="str">
        <f>IFERROR(__xludf.dummyfunction("""COMPUTED_VALUE"""),"26062254001")</f>
        <v>26062254001</v>
      </c>
      <c r="J175" s="3" t="str">
        <f>IFERROR(__xludf.dummyfunction("""COMPUTED_VALUE"""),"08/06/2026 14:32:49")</f>
        <v>08/06/2026 14:32:49</v>
      </c>
      <c r="K175" s="3" t="str">
        <f>IFERROR(__xludf.dummyfunction("""COMPUTED_VALUE"""),"Eva Thais Silva de Melo")</f>
        <v>Eva Thais Silva de Melo</v>
      </c>
      <c r="L175" s="146" t="str">
        <f>IFERROR(__xludf.dummyfunction("""COMPUTED_VALUE"""),"181.746.834-02")</f>
        <v>181.746.834-02</v>
      </c>
      <c r="M175" s="146" t="str">
        <f>IFERROR(__xludf.dummyfunction("""COMPUTED_VALUE"""),"17/05/2022")</f>
        <v>17/05/2022</v>
      </c>
      <c r="N175" s="3"/>
      <c r="O175" s="3" t="str">
        <f>IFERROR(__xludf.dummyfunction("""COMPUTED_VALUE"""),"0")</f>
        <v>0</v>
      </c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hidden="1" customHeight="1" spans="1:29">
      <c r="A176" s="3"/>
      <c r="B176" s="3" t="str">
        <f t="array" ref="B176">_xlfn.XLOOKUP(D176,Tabela_Dados_Esc_JAB_2026[INEP],Tabela_Dados_Esc_JAB_2026[REGIONAL],"NE",0)</f>
        <v>REGIONAL 5</v>
      </c>
      <c r="C176" s="4" t="str">
        <f>IFERROR(__xludf.dummyfunction("""COMPUTED_VALUE"""),"CEMEI PROFESSORA LINDOMAR DOMINGOS DA SILVA ANJOS")</f>
        <v>CEMEI PROFESSORA LINDOMAR DOMINGOS DA SILVA ANJOS</v>
      </c>
      <c r="D176" s="3" t="str">
        <f>IFERROR(__xludf.dummyfunction("""COMPUTED_VALUE"""),"26191296")</f>
        <v>26191296</v>
      </c>
      <c r="E176" s="3" t="str">
        <f>IFERROR(__xludf.dummyfunction("""COMPUTED_VALUE"""),"INFANTIL 3")</f>
        <v>INFANTIL 3</v>
      </c>
      <c r="F176" s="3" t="str">
        <f>IFERROR(__xludf.dummyfunction("""COMPUTED_VALUE"""),"Integral")</f>
        <v>Integral</v>
      </c>
      <c r="G176" s="3" t="str">
        <f>IFERROR(__xludf.dummyfunction("""COMPUTED_VALUE"""),"Comum")</f>
        <v>Comum</v>
      </c>
      <c r="H176" s="3" t="str">
        <f>IFERROR(__xludf.dummyfunction("""COMPUTED_VALUE"""),"31")</f>
        <v>31</v>
      </c>
      <c r="I176" s="147" t="str">
        <f>IFERROR(__xludf.dummyfunction("""COMPUTED_VALUE"""),"26062546798")</f>
        <v>26062546798</v>
      </c>
      <c r="J176" s="3" t="str">
        <f>IFERROR(__xludf.dummyfunction("""COMPUTED_VALUE"""),"11/06/2026 11:18:56")</f>
        <v>11/06/2026 11:18:56</v>
      </c>
      <c r="K176" s="3" t="str">
        <f>IFERROR(__xludf.dummyfunction("""COMPUTED_VALUE"""),"ANDREW CAETANO DOS SANTOS")</f>
        <v>ANDREW CAETANO DOS SANTOS</v>
      </c>
      <c r="L176" s="146" t="str">
        <f>IFERROR(__xludf.dummyfunction("""COMPUTED_VALUE"""),"184.039.284-32")</f>
        <v>184.039.284-32</v>
      </c>
      <c r="M176" s="146" t="str">
        <f>IFERROR(__xludf.dummyfunction("""COMPUTED_VALUE"""),"12/01/2023")</f>
        <v>12/01/2023</v>
      </c>
      <c r="N176" s="3"/>
      <c r="O176" s="3" t="str">
        <f>IFERROR(__xludf.dummyfunction("""COMPUTED_VALUE"""),"0")</f>
        <v>0</v>
      </c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hidden="1" customHeight="1" spans="1:29">
      <c r="A177" s="3"/>
      <c r="B177" s="3" t="str">
        <f t="array" ref="B177">_xlfn.XLOOKUP(D177,Tabela_Dados_Esc_JAB_2026[INEP],Tabela_Dados_Esc_JAB_2026[REGIONAL],"NE",0)</f>
        <v>REGIONAL 5</v>
      </c>
      <c r="C177" s="4" t="str">
        <f>IFERROR(__xludf.dummyfunction("""COMPUTED_VALUE"""),"CEMEI PROFESSORA LINDOMAR DOMINGOS DA SILVA ANJOS")</f>
        <v>CEMEI PROFESSORA LINDOMAR DOMINGOS DA SILVA ANJOS</v>
      </c>
      <c r="D177" s="3" t="str">
        <f>IFERROR(__xludf.dummyfunction("""COMPUTED_VALUE"""),"26191296")</f>
        <v>26191296</v>
      </c>
      <c r="E177" s="3" t="str">
        <f>IFERROR(__xludf.dummyfunction("""COMPUTED_VALUE"""),"INFANTIL 3")</f>
        <v>INFANTIL 3</v>
      </c>
      <c r="F177" s="3" t="str">
        <f>IFERROR(__xludf.dummyfunction("""COMPUTED_VALUE"""),"Integral")</f>
        <v>Integral</v>
      </c>
      <c r="G177" s="3" t="str">
        <f>IFERROR(__xludf.dummyfunction("""COMPUTED_VALUE"""),"Comum")</f>
        <v>Comum</v>
      </c>
      <c r="H177" s="3" t="str">
        <f>IFERROR(__xludf.dummyfunction("""COMPUTED_VALUE"""),"32")</f>
        <v>32</v>
      </c>
      <c r="I177" s="147" t="str">
        <f>IFERROR(__xludf.dummyfunction("""COMPUTED_VALUE"""),"26072047270")</f>
        <v>26072047270</v>
      </c>
      <c r="J177" s="3" t="str">
        <f>IFERROR(__xludf.dummyfunction("""COMPUTED_VALUE"""),"08/07/2026 07:42:11")</f>
        <v>08/07/2026 07:42:11</v>
      </c>
      <c r="K177" s="3" t="str">
        <f>IFERROR(__xludf.dummyfunction("""COMPUTED_VALUE"""),"Ravi Rafael Silva do Nascimento")</f>
        <v>Ravi Rafael Silva do Nascimento</v>
      </c>
      <c r="L177" s="146" t="str">
        <f>IFERROR(__xludf.dummyfunction("""COMPUTED_VALUE"""),"181.733.434-46")</f>
        <v>181.733.434-46</v>
      </c>
      <c r="M177" s="146" t="str">
        <f>IFERROR(__xludf.dummyfunction("""COMPUTED_VALUE"""),"13/05/2022")</f>
        <v>13/05/2022</v>
      </c>
      <c r="N177" s="3"/>
      <c r="O177" s="3" t="str">
        <f>IFERROR(__xludf.dummyfunction("""COMPUTED_VALUE"""),"0")</f>
        <v>0</v>
      </c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hidden="1" customHeight="1" spans="1:29">
      <c r="A178" s="3"/>
      <c r="B178" s="3" t="str">
        <f t="array" ref="B178">_xlfn.XLOOKUP(D178,Tabela_Dados_Esc_JAB_2026[INEP],Tabela_Dados_Esc_JAB_2026[REGIONAL],"NE",0)</f>
        <v>REGIONAL 5</v>
      </c>
      <c r="C178" s="4" t="str">
        <f>IFERROR(__xludf.dummyfunction("""COMPUTED_VALUE"""),"CEMEI PROFESSORA LINDOMAR DOMINGOS DA SILVA ANJOS")</f>
        <v>CEMEI PROFESSORA LINDOMAR DOMINGOS DA SILVA ANJOS</v>
      </c>
      <c r="D178" s="3" t="str">
        <f>IFERROR(__xludf.dummyfunction("""COMPUTED_VALUE"""),"26191296")</f>
        <v>26191296</v>
      </c>
      <c r="E178" s="3" t="str">
        <f>IFERROR(__xludf.dummyfunction("""COMPUTED_VALUE"""),"INFANTIL 3")</f>
        <v>INFANTIL 3</v>
      </c>
      <c r="F178" s="3" t="str">
        <f>IFERROR(__xludf.dummyfunction("""COMPUTED_VALUE"""),"Integral")</f>
        <v>Integral</v>
      </c>
      <c r="G178" s="3" t="str">
        <f>IFERROR(__xludf.dummyfunction("""COMPUTED_VALUE"""),"Comum")</f>
        <v>Comum</v>
      </c>
      <c r="H178" s="3" t="str">
        <f>IFERROR(__xludf.dummyfunction("""COMPUTED_VALUE"""),"33")</f>
        <v>33</v>
      </c>
      <c r="I178" s="147" t="str">
        <f>IFERROR(__xludf.dummyfunction("""COMPUTED_VALUE"""),"26072615803")</f>
        <v>26072615803</v>
      </c>
      <c r="J178" s="3" t="str">
        <f>IFERROR(__xludf.dummyfunction("""COMPUTED_VALUE"""),"18/07/2026 16:56:58")</f>
        <v>18/07/2026 16:56:58</v>
      </c>
      <c r="K178" s="3" t="str">
        <f>IFERROR(__xludf.dummyfunction("""COMPUTED_VALUE"""),"stella helena gomes de souza")</f>
        <v>stella helena gomes de souza</v>
      </c>
      <c r="L178" s="146" t="str">
        <f>IFERROR(__xludf.dummyfunction("""COMPUTED_VALUE"""),"126.561.643-46")</f>
        <v>126.561.643-46</v>
      </c>
      <c r="M178" s="146" t="str">
        <f>IFERROR(__xludf.dummyfunction("""COMPUTED_VALUE"""),"21/12/2022")</f>
        <v>21/12/2022</v>
      </c>
      <c r="N178" s="3"/>
      <c r="O178" s="3" t="str">
        <f>IFERROR(__xludf.dummyfunction("""COMPUTED_VALUE"""),"0")</f>
        <v>0</v>
      </c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hidden="1" customHeight="1" spans="1:29">
      <c r="A179" s="3"/>
      <c r="B179" s="3" t="str">
        <f t="array" ref="B179">_xlfn.XLOOKUP(D179,Tabela_Dados_Esc_JAB_2026[INEP],Tabela_Dados_Esc_JAB_2026[REGIONAL],"NE",0)</f>
        <v>REGIONAL 5</v>
      </c>
      <c r="C179" s="4" t="str">
        <f>IFERROR(__xludf.dummyfunction("""COMPUTED_VALUE"""),"CEMEI PROFESSORA LINDOMAR DOMINGOS DA SILVA ANJOS")</f>
        <v>CEMEI PROFESSORA LINDOMAR DOMINGOS DA SILVA ANJOS</v>
      </c>
      <c r="D179" s="3" t="str">
        <f>IFERROR(__xludf.dummyfunction("""COMPUTED_VALUE"""),"26191296")</f>
        <v>26191296</v>
      </c>
      <c r="E179" s="3" t="str">
        <f>IFERROR(__xludf.dummyfunction("""COMPUTED_VALUE"""),"INFANTIL 3")</f>
        <v>INFANTIL 3</v>
      </c>
      <c r="F179" s="3" t="str">
        <f>IFERROR(__xludf.dummyfunction("""COMPUTED_VALUE"""),"Integral")</f>
        <v>Integral</v>
      </c>
      <c r="G179" s="3" t="str">
        <f>IFERROR(__xludf.dummyfunction("""COMPUTED_VALUE"""),"Comum")</f>
        <v>Comum</v>
      </c>
      <c r="H179" s="3" t="str">
        <f>IFERROR(__xludf.dummyfunction("""COMPUTED_VALUE"""),"34")</f>
        <v>34</v>
      </c>
      <c r="I179" s="147" t="str">
        <f>IFERROR(__xludf.dummyfunction("""COMPUTED_VALUE"""),"26082565426")</f>
        <v>26082565426</v>
      </c>
      <c r="J179" s="3" t="str">
        <f>IFERROR(__xludf.dummyfunction("""COMPUTED_VALUE"""),"04/08/2026 16:43:22")</f>
        <v>04/08/2026 16:43:22</v>
      </c>
      <c r="K179" s="3" t="str">
        <f>IFERROR(__xludf.dummyfunction("""COMPUTED_VALUE"""),"BRENDA LARISSA SILVA DE ARAÚJO")</f>
        <v>BRENDA LARISSA SILVA DE ARAÚJO</v>
      </c>
      <c r="L179" s="146" t="str">
        <f>IFERROR(__xludf.dummyfunction("""COMPUTED_VALUE"""),"182.963.054-70")</f>
        <v>182.963.054-70</v>
      </c>
      <c r="M179" s="146" t="str">
        <f>IFERROR(__xludf.dummyfunction("""COMPUTED_VALUE"""),"24/09/2022")</f>
        <v>24/09/2022</v>
      </c>
      <c r="N179" s="3"/>
      <c r="O179" s="3" t="str">
        <f>IFERROR(__xludf.dummyfunction("""COMPUTED_VALUE"""),"0")</f>
        <v>0</v>
      </c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hidden="1" customHeight="1" spans="1:29">
      <c r="A180" s="3"/>
      <c r="B180" s="3" t="str">
        <f t="array" ref="B180">_xlfn.XLOOKUP(D180,Tabela_Dados_Esc_JAB_2026[INEP],Tabela_Dados_Esc_JAB_2026[REGIONAL],"NE",0)</f>
        <v>REGIONAL 5</v>
      </c>
      <c r="C180" s="4" t="str">
        <f>IFERROR(__xludf.dummyfunction("""COMPUTED_VALUE"""),"CEMEI PROFESSORA LINDOMAR DOMINGOS DA SILVA ANJOS")</f>
        <v>CEMEI PROFESSORA LINDOMAR DOMINGOS DA SILVA ANJOS</v>
      </c>
      <c r="D180" s="3" t="str">
        <f>IFERROR(__xludf.dummyfunction("""COMPUTED_VALUE"""),"26191296")</f>
        <v>26191296</v>
      </c>
      <c r="E180" s="3" t="str">
        <f>IFERROR(__xludf.dummyfunction("""COMPUTED_VALUE"""),"INFANTIL 3")</f>
        <v>INFANTIL 3</v>
      </c>
      <c r="F180" s="3" t="str">
        <f>IFERROR(__xludf.dummyfunction("""COMPUTED_VALUE"""),"Integral")</f>
        <v>Integral</v>
      </c>
      <c r="G180" s="3" t="str">
        <f>IFERROR(__xludf.dummyfunction("""COMPUTED_VALUE"""),"Comum")</f>
        <v>Comum</v>
      </c>
      <c r="H180" s="3" t="str">
        <f>IFERROR(__xludf.dummyfunction("""COMPUTED_VALUE"""),"35")</f>
        <v>35</v>
      </c>
      <c r="I180" s="147" t="str">
        <f>IFERROR(__xludf.dummyfunction("""COMPUTED_VALUE"""),"26082091333")</f>
        <v>26082091333</v>
      </c>
      <c r="J180" s="3" t="str">
        <f>IFERROR(__xludf.dummyfunction("""COMPUTED_VALUE"""),"26/08/2026 08:48:59")</f>
        <v>26/08/2026 08:48:59</v>
      </c>
      <c r="K180" s="3" t="str">
        <f>IFERROR(__xludf.dummyfunction("""COMPUTED_VALUE"""),"LARA OLIVEIRA DA SILVA")</f>
        <v>LARA OLIVEIRA DA SILVA</v>
      </c>
      <c r="L180" s="146" t="str">
        <f>IFERROR(__xludf.dummyfunction("""COMPUTED_VALUE"""),"183.309.994-08")</f>
        <v>183.309.994-08</v>
      </c>
      <c r="M180" s="146" t="str">
        <f>IFERROR(__xludf.dummyfunction("""COMPUTED_VALUE"""),"23/08/2022")</f>
        <v>23/08/2022</v>
      </c>
      <c r="N180" s="3"/>
      <c r="O180" s="3" t="str">
        <f>IFERROR(__xludf.dummyfunction("""COMPUTED_VALUE"""),"0")</f>
        <v>0</v>
      </c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hidden="1" customHeight="1" spans="1:29">
      <c r="A181" s="3"/>
      <c r="B181" s="3" t="str">
        <f t="array" ref="B181">_xlfn.XLOOKUP(D181,Tabela_Dados_Esc_JAB_2026[INEP],Tabela_Dados_Esc_JAB_2026[REGIONAL],"NE",0)</f>
        <v>REGIONAL 5</v>
      </c>
      <c r="C181" s="4" t="str">
        <f>IFERROR(__xludf.dummyfunction("""COMPUTED_VALUE"""),"CEMEI PROFESSORA LINDOMAR DOMINGOS DA SILVA ANJOS")</f>
        <v>CEMEI PROFESSORA LINDOMAR DOMINGOS DA SILVA ANJOS</v>
      </c>
      <c r="D181" s="3" t="str">
        <f>IFERROR(__xludf.dummyfunction("""COMPUTED_VALUE"""),"26191296")</f>
        <v>26191296</v>
      </c>
      <c r="E181" s="3" t="str">
        <f>IFERROR(__xludf.dummyfunction("""COMPUTED_VALUE"""),"INFANTIL 3")</f>
        <v>INFANTIL 3</v>
      </c>
      <c r="F181" s="3" t="str">
        <f>IFERROR(__xludf.dummyfunction("""COMPUTED_VALUE"""),"Integral")</f>
        <v>Integral</v>
      </c>
      <c r="G181" s="3" t="str">
        <f>IFERROR(__xludf.dummyfunction("""COMPUTED_VALUE"""),"Comum")</f>
        <v>Comum</v>
      </c>
      <c r="H181" s="3" t="str">
        <f>IFERROR(__xludf.dummyfunction("""COMPUTED_VALUE"""),"36")</f>
        <v>36</v>
      </c>
      <c r="I181" s="147" t="str">
        <f>IFERROR(__xludf.dummyfunction("""COMPUTED_VALUE"""),"26082458304")</f>
        <v>26082458304</v>
      </c>
      <c r="J181" s="3" t="str">
        <f>IFERROR(__xludf.dummyfunction("""COMPUTED_VALUE"""),"28/08/2026 18:00:10")</f>
        <v>28/08/2026 18:00:10</v>
      </c>
      <c r="K181" s="3" t="str">
        <f>IFERROR(__xludf.dummyfunction("""COMPUTED_VALUE"""),"Murilo Cavalcanti Félix")</f>
        <v>Murilo Cavalcanti Félix</v>
      </c>
      <c r="L181" s="146" t="str">
        <f>IFERROR(__xludf.dummyfunction("""COMPUTED_VALUE"""),"182.800.654-82")</f>
        <v>182.800.654-82</v>
      </c>
      <c r="M181" s="146" t="str">
        <f>IFERROR(__xludf.dummyfunction("""COMPUTED_VALUE"""),"10/09/2022")</f>
        <v>10/09/2022</v>
      </c>
      <c r="N181" s="3"/>
      <c r="O181" s="3" t="str">
        <f>IFERROR(__xludf.dummyfunction("""COMPUTED_VALUE"""),"0")</f>
        <v>0</v>
      </c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hidden="1" customHeight="1" spans="1:29">
      <c r="A182" s="3"/>
      <c r="B182" s="3" t="str">
        <f t="array" ref="B182">_xlfn.XLOOKUP(D182,Tabela_Dados_Esc_JAB_2026[INEP],Tabela_Dados_Esc_JAB_2026[REGIONAL],"NE",0)</f>
        <v>REGIONAL 5</v>
      </c>
      <c r="C182" s="4" t="str">
        <f>IFERROR(__xludf.dummyfunction("""COMPUTED_VALUE"""),"CEMEI PROFESSORA LINDOMAR DOMINGOS DA SILVA ANJOS")</f>
        <v>CEMEI PROFESSORA LINDOMAR DOMINGOS DA SILVA ANJOS</v>
      </c>
      <c r="D182" s="3" t="str">
        <f>IFERROR(__xludf.dummyfunction("""COMPUTED_VALUE"""),"26191296")</f>
        <v>26191296</v>
      </c>
      <c r="E182" s="3" t="str">
        <f>IFERROR(__xludf.dummyfunction("""COMPUTED_VALUE"""),"INFANTIL 3")</f>
        <v>INFANTIL 3</v>
      </c>
      <c r="F182" s="3" t="str">
        <f>IFERROR(__xludf.dummyfunction("""COMPUTED_VALUE"""),"Integral")</f>
        <v>Integral</v>
      </c>
      <c r="G182" s="3" t="str">
        <f>IFERROR(__xludf.dummyfunction("""COMPUTED_VALUE"""),"Comum")</f>
        <v>Comum</v>
      </c>
      <c r="H182" s="3" t="str">
        <f>IFERROR(__xludf.dummyfunction("""COMPUTED_VALUE"""),"37")</f>
        <v>37</v>
      </c>
      <c r="I182" s="147" t="str">
        <f>IFERROR(__xludf.dummyfunction("""COMPUTED_VALUE"""),"26092273602")</f>
        <v>26092273602</v>
      </c>
      <c r="J182" s="3" t="str">
        <f>IFERROR(__xludf.dummyfunction("""COMPUTED_VALUE"""),"09/09/2026 20:23:18")</f>
        <v>09/09/2026 20:23:18</v>
      </c>
      <c r="K182" s="3" t="str">
        <f>IFERROR(__xludf.dummyfunction("""COMPUTED_VALUE"""),"Zayan Victor Cristo da silva")</f>
        <v>Zayan Victor Cristo da silva</v>
      </c>
      <c r="L182" s="146" t="str">
        <f>IFERROR(__xludf.dummyfunction("""COMPUTED_VALUE"""),"183.203.534-40")</f>
        <v>183.203.534-40</v>
      </c>
      <c r="M182" s="146" t="str">
        <f>IFERROR(__xludf.dummyfunction("""COMPUTED_VALUE"""),"19/10/2022")</f>
        <v>19/10/2022</v>
      </c>
      <c r="N182" s="3"/>
      <c r="O182" s="3" t="str">
        <f>IFERROR(__xludf.dummyfunction("""COMPUTED_VALUE"""),"0")</f>
        <v>0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hidden="1" customHeight="1" spans="1:29">
      <c r="A183" s="3"/>
      <c r="B183" s="3" t="str">
        <f t="array" ref="B183">_xlfn.XLOOKUP(D183,Tabela_Dados_Esc_JAB_2026[INEP],Tabela_Dados_Esc_JAB_2026[REGIONAL],"NE",0)</f>
        <v>REGIONAL 5</v>
      </c>
      <c r="C183" s="4" t="str">
        <f>IFERROR(__xludf.dummyfunction("""COMPUTED_VALUE"""),"CEMEI PROFESSORA LINDOMAR DOMINGOS DA SILVA ANJOS")</f>
        <v>CEMEI PROFESSORA LINDOMAR DOMINGOS DA SILVA ANJOS</v>
      </c>
      <c r="D183" s="3" t="str">
        <f>IFERROR(__xludf.dummyfunction("""COMPUTED_VALUE"""),"26191296")</f>
        <v>26191296</v>
      </c>
      <c r="E183" s="3" t="str">
        <f>IFERROR(__xludf.dummyfunction("""COMPUTED_VALUE"""),"INFANTIL 4")</f>
        <v>INFANTIL 4</v>
      </c>
      <c r="F183" s="3" t="str">
        <f>IFERROR(__xludf.dummyfunction("""COMPUTED_VALUE"""),"Matutino/Manhã")</f>
        <v>Matutino/Manhã</v>
      </c>
      <c r="G183" s="3" t="str">
        <f>IFERROR(__xludf.dummyfunction("""COMPUTED_VALUE"""),"Comum")</f>
        <v>Comum</v>
      </c>
      <c r="H183" s="3" t="str">
        <f>IFERROR(__xludf.dummyfunction("""COMPUTED_VALUE"""),"1")</f>
        <v>1</v>
      </c>
      <c r="I183" s="147" t="str">
        <f>IFERROR(__xludf.dummyfunction("""COMPUTED_VALUE"""),"26082470392")</f>
        <v>26082470392</v>
      </c>
      <c r="J183" s="3" t="str">
        <f>IFERROR(__xludf.dummyfunction("""COMPUTED_VALUE"""),"05/08/2026 13:00:01")</f>
        <v>05/08/2026 13:00:01</v>
      </c>
      <c r="K183" s="3" t="str">
        <f>IFERROR(__xludf.dummyfunction("""COMPUTED_VALUE"""),"Marina Martins da silva")</f>
        <v>Marina Martins da silva</v>
      </c>
      <c r="L183" s="146" t="str">
        <f>IFERROR(__xludf.dummyfunction("""COMPUTED_VALUE"""),"180.854.924-40")</f>
        <v>180.854.924-40</v>
      </c>
      <c r="M183" s="146" t="str">
        <f>IFERROR(__xludf.dummyfunction("""COMPUTED_VALUE"""),"09/03/2022")</f>
        <v>09/03/2022</v>
      </c>
      <c r="N183" s="3"/>
      <c r="O183" s="3" t="str">
        <f>IFERROR(__xludf.dummyfunction("""COMPUTED_VALUE"""),"0")</f>
        <v>0</v>
      </c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hidden="1" customHeight="1" spans="1:29">
      <c r="A184" s="3"/>
      <c r="B184" s="3" t="str">
        <f t="array" ref="B184">_xlfn.XLOOKUP(D184,Tabela_Dados_Esc_JAB_2026[INEP],Tabela_Dados_Esc_JAB_2026[REGIONAL],"NE",0)</f>
        <v>REGIONAL 5</v>
      </c>
      <c r="C184" s="4" t="str">
        <f>IFERROR(__xludf.dummyfunction("""COMPUTED_VALUE"""),"CEMEI PROFESSORA LINDOMAR DOMINGOS DA SILVA ANJOS")</f>
        <v>CEMEI PROFESSORA LINDOMAR DOMINGOS DA SILVA ANJOS</v>
      </c>
      <c r="D184" s="3" t="str">
        <f>IFERROR(__xludf.dummyfunction("""COMPUTED_VALUE"""),"26191296")</f>
        <v>26191296</v>
      </c>
      <c r="E184" s="3" t="str">
        <f>IFERROR(__xludf.dummyfunction("""COMPUTED_VALUE"""),"INFANTIL 5")</f>
        <v>INFANTIL 5</v>
      </c>
      <c r="F184" s="3" t="str">
        <f>IFERROR(__xludf.dummyfunction("""COMPUTED_VALUE"""),"Matutino/Manhã")</f>
        <v>Matutino/Manhã</v>
      </c>
      <c r="G184" s="3" t="str">
        <f>IFERROR(__xludf.dummyfunction("""COMPUTED_VALUE"""),"Comum")</f>
        <v>Comum</v>
      </c>
      <c r="H184" s="3" t="str">
        <f>IFERROR(__xludf.dummyfunction("""COMPUTED_VALUE"""),"1")</f>
        <v>1</v>
      </c>
      <c r="I184" s="147" t="str">
        <f>IFERROR(__xludf.dummyfunction("""COMPUTED_VALUE"""),"26082749397")</f>
        <v>26082749397</v>
      </c>
      <c r="J184" s="3" t="str">
        <f>IFERROR(__xludf.dummyfunction("""COMPUTED_VALUE"""),"13/08/2026 11:53:13")</f>
        <v>13/08/2026 11:53:13</v>
      </c>
      <c r="K184" s="3" t="str">
        <f>IFERROR(__xludf.dummyfunction("""COMPUTED_VALUE"""),"ALINE VANESSA GARCIA DA SILVA")</f>
        <v>ALINE VANESSA GARCIA DA SILVA</v>
      </c>
      <c r="L184" s="146" t="str">
        <f>IFERROR(__xludf.dummyfunction("""COMPUTED_VALUE"""),"172.904.724-62")</f>
        <v>172.904.724-62</v>
      </c>
      <c r="M184" s="146" t="str">
        <f>IFERROR(__xludf.dummyfunction("""COMPUTED_VALUE"""),"13/07/2020")</f>
        <v>13/07/2020</v>
      </c>
      <c r="N184" s="3"/>
      <c r="O184" s="3" t="str">
        <f>IFERROR(__xludf.dummyfunction("""COMPUTED_VALUE"""),"0")</f>
        <v>0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hidden="1" customHeight="1" spans="1:29">
      <c r="A185" s="3"/>
      <c r="B185" s="3" t="str">
        <f t="array" ref="B185">_xlfn.XLOOKUP(D185,Tabela_Dados_Esc_JAB_2026[INEP],Tabela_Dados_Esc_JAB_2026[REGIONAL],"NE",0)</f>
        <v>REGIONAL 5</v>
      </c>
      <c r="C185" s="4" t="str">
        <f>IFERROR(__xludf.dummyfunction("""COMPUTED_VALUE"""),"CEMEI PROFESSORA LINDOMAR DOMINGOS DA SILVA ANJOS")</f>
        <v>CEMEI PROFESSORA LINDOMAR DOMINGOS DA SILVA ANJOS</v>
      </c>
      <c r="D185" s="3" t="str">
        <f>IFERROR(__xludf.dummyfunction("""COMPUTED_VALUE"""),"26191296")</f>
        <v>26191296</v>
      </c>
      <c r="E185" s="3" t="str">
        <f>IFERROR(__xludf.dummyfunction("""COMPUTED_VALUE"""),"INFANTIL 5")</f>
        <v>INFANTIL 5</v>
      </c>
      <c r="F185" s="3" t="str">
        <f>IFERROR(__xludf.dummyfunction("""COMPUTED_VALUE"""),"Vespertino/Tarde")</f>
        <v>Vespertino/Tarde</v>
      </c>
      <c r="G185" s="3" t="str">
        <f>IFERROR(__xludf.dummyfunction("""COMPUTED_VALUE"""),"Comum")</f>
        <v>Comum</v>
      </c>
      <c r="H185" s="3" t="str">
        <f>IFERROR(__xludf.dummyfunction("""COMPUTED_VALUE"""),"1")</f>
        <v>1</v>
      </c>
      <c r="I185" s="147" t="str">
        <f>IFERROR(__xludf.dummyfunction("""COMPUTED_VALUE"""),"26032756557")</f>
        <v>26032756557</v>
      </c>
      <c r="J185" s="3" t="str">
        <f>IFERROR(__xludf.dummyfunction("""COMPUTED_VALUE"""),"16/03/2026 12:40:48")</f>
        <v>16/03/2026 12:40:48</v>
      </c>
      <c r="K185" s="3" t="str">
        <f>IFERROR(__xludf.dummyfunction("""COMPUTED_VALUE"""),"ARTHUR MIGUEL GOMES DE LUNA")</f>
        <v>ARTHUR MIGUEL GOMES DE LUNA</v>
      </c>
      <c r="L185" s="146" t="str">
        <f>IFERROR(__xludf.dummyfunction("""COMPUTED_VALUE"""),"171.407.834-54")</f>
        <v>171.407.834-54</v>
      </c>
      <c r="M185" s="146" t="str">
        <f>IFERROR(__xludf.dummyfunction("""COMPUTED_VALUE"""),"14/04/2020")</f>
        <v>14/04/2020</v>
      </c>
      <c r="N185" s="3"/>
      <c r="O185" s="3" t="str">
        <f>IFERROR(__xludf.dummyfunction("""COMPUTED_VALUE"""),"0")</f>
        <v>0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hidden="1" customHeight="1" spans="1:29">
      <c r="A186" s="3"/>
      <c r="B186" s="3" t="str">
        <f t="array" ref="B186">_xlfn.XLOOKUP(D186,Tabela_Dados_Esc_JAB_2026[INEP],Tabela_Dados_Esc_JAB_2026[REGIONAL],"NE",0)</f>
        <v>REGIONAL 6</v>
      </c>
      <c r="C186" s="4" t="str">
        <f>IFERROR(__xludf.dummyfunction("""COMPUTED_VALUE"""),"CEMEI PROFESSORA MARLUCIA EVANGELISTA DE SOUZA")</f>
        <v>CEMEI PROFESSORA MARLUCIA EVANGELISTA DE SOUZA</v>
      </c>
      <c r="D186" s="3" t="str">
        <f>IFERROR(__xludf.dummyfunction("""COMPUTED_VALUE"""),"26187078")</f>
        <v>26187078</v>
      </c>
      <c r="E186" s="3" t="str">
        <f>IFERROR(__xludf.dummyfunction("""COMPUTED_VALUE"""),"INFANTIL 3")</f>
        <v>INFANTIL 3</v>
      </c>
      <c r="F186" s="3" t="str">
        <f>IFERROR(__xludf.dummyfunction("""COMPUTED_VALUE"""),"Matutino/Manhã")</f>
        <v>Matutino/Manhã</v>
      </c>
      <c r="G186" s="3" t="str">
        <f>IFERROR(__xludf.dummyfunction("""COMPUTED_VALUE"""),"Comum")</f>
        <v>Comum</v>
      </c>
      <c r="H186" s="3" t="str">
        <f>IFERROR(__xludf.dummyfunction("""COMPUTED_VALUE"""),"1")</f>
        <v>1</v>
      </c>
      <c r="I186" s="145" t="str">
        <f>IFERROR(__xludf.dummyfunction("""COMPUTED_VALUE"""),"26022435909")</f>
        <v>26022435909</v>
      </c>
      <c r="J186" s="3" t="str">
        <f>IFERROR(__xludf.dummyfunction("""COMPUTED_VALUE"""),"24/02/2026 14:04:38")</f>
        <v>24/02/2026 14:04:38</v>
      </c>
      <c r="K186" s="3" t="str">
        <f>IFERROR(__xludf.dummyfunction("""COMPUTED_VALUE"""),"JOAO MIGUEL FRAZAO DA SILVA")</f>
        <v>JOAO MIGUEL FRAZAO DA SILVA</v>
      </c>
      <c r="L186" s="146" t="str">
        <f>IFERROR(__xludf.dummyfunction("""COMPUTED_VALUE"""),"185.844.714-30")</f>
        <v>185.844.714-30</v>
      </c>
      <c r="M186" s="146" t="str">
        <f>IFERROR(__xludf.dummyfunction("""COMPUTED_VALUE"""),"01/11/2022")</f>
        <v>01/11/2022</v>
      </c>
      <c r="N186" s="3"/>
      <c r="O186" s="3" t="str">
        <f>IFERROR(__xludf.dummyfunction("""COMPUTED_VALUE"""),"0")</f>
        <v>0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hidden="1" customHeight="1" spans="1:29">
      <c r="A187" s="3"/>
      <c r="B187" s="3" t="str">
        <f t="array" ref="B187">_xlfn.XLOOKUP(D187,Tabela_Dados_Esc_JAB_2026[INEP],Tabela_Dados_Esc_JAB_2026[REGIONAL],"NE",0)</f>
        <v>REGIONAL 6</v>
      </c>
      <c r="C187" s="4" t="str">
        <f>IFERROR(__xludf.dummyfunction("""COMPUTED_VALUE"""),"CEMEI PROFESSORA MARLUCIA EVANGELISTA DE SOUZA")</f>
        <v>CEMEI PROFESSORA MARLUCIA EVANGELISTA DE SOUZA</v>
      </c>
      <c r="D187" s="3" t="str">
        <f>IFERROR(__xludf.dummyfunction("""COMPUTED_VALUE"""),"26187078")</f>
        <v>26187078</v>
      </c>
      <c r="E187" s="3" t="str">
        <f>IFERROR(__xludf.dummyfunction("""COMPUTED_VALUE"""),"INFANTIL 3")</f>
        <v>INFANTIL 3</v>
      </c>
      <c r="F187" s="3" t="str">
        <f>IFERROR(__xludf.dummyfunction("""COMPUTED_VALUE"""),"Matutino/Manhã")</f>
        <v>Matutino/Manhã</v>
      </c>
      <c r="G187" s="3" t="str">
        <f>IFERROR(__xludf.dummyfunction("""COMPUTED_VALUE"""),"Comum")</f>
        <v>Comum</v>
      </c>
      <c r="H187" s="3" t="str">
        <f>IFERROR(__xludf.dummyfunction("""COMPUTED_VALUE"""),"2")</f>
        <v>2</v>
      </c>
      <c r="I187" s="145" t="str">
        <f>IFERROR(__xludf.dummyfunction("""COMPUTED_VALUE"""),"26032293100")</f>
        <v>26032293100</v>
      </c>
      <c r="J187" s="3" t="str">
        <f>IFERROR(__xludf.dummyfunction("""COMPUTED_VALUE"""),"26/03/2026 11:14:13")</f>
        <v>26/03/2026 11:14:13</v>
      </c>
      <c r="K187" s="3" t="str">
        <f>IFERROR(__xludf.dummyfunction("""COMPUTED_VALUE"""),"ENZO GABRIEL MENDONÇA DO NASCIMENTO")</f>
        <v>ENZO GABRIEL MENDONÇA DO NASCIMENTO</v>
      </c>
      <c r="L187" s="146" t="str">
        <f>IFERROR(__xludf.dummyfunction("""COMPUTED_VALUE"""),"183.493.574-10")</f>
        <v>183.493.574-10</v>
      </c>
      <c r="M187" s="146" t="str">
        <f>IFERROR(__xludf.dummyfunction("""COMPUTED_VALUE"""),"19/11/2022")</f>
        <v>19/11/2022</v>
      </c>
      <c r="N187" s="3"/>
      <c r="O187" s="3" t="str">
        <f>IFERROR(__xludf.dummyfunction("""COMPUTED_VALUE"""),"0")</f>
        <v>0</v>
      </c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hidden="1" customHeight="1" spans="1:29">
      <c r="A188" s="3"/>
      <c r="B188" s="3" t="str">
        <f t="array" ref="B188">_xlfn.XLOOKUP(D188,Tabela_Dados_Esc_JAB_2026[INEP],Tabela_Dados_Esc_JAB_2026[REGIONAL],"NE",0)</f>
        <v>REGIONAL 6</v>
      </c>
      <c r="C188" s="4" t="str">
        <f>IFERROR(__xludf.dummyfunction("""COMPUTED_VALUE"""),"CEMEI PROFESSORA MARLUCIA EVANGELISTA DE SOUZA")</f>
        <v>CEMEI PROFESSORA MARLUCIA EVANGELISTA DE SOUZA</v>
      </c>
      <c r="D188" s="3" t="str">
        <f>IFERROR(__xludf.dummyfunction("""COMPUTED_VALUE"""),"26187078")</f>
        <v>26187078</v>
      </c>
      <c r="E188" s="3" t="str">
        <f>IFERROR(__xludf.dummyfunction("""COMPUTED_VALUE"""),"INFANTIL 3")</f>
        <v>INFANTIL 3</v>
      </c>
      <c r="F188" s="3" t="str">
        <f>IFERROR(__xludf.dummyfunction("""COMPUTED_VALUE"""),"Matutino/Manhã")</f>
        <v>Matutino/Manhã</v>
      </c>
      <c r="G188" s="3" t="str">
        <f>IFERROR(__xludf.dummyfunction("""COMPUTED_VALUE"""),"Comum")</f>
        <v>Comum</v>
      </c>
      <c r="H188" s="3" t="str">
        <f>IFERROR(__xludf.dummyfunction("""COMPUTED_VALUE"""),"3")</f>
        <v>3</v>
      </c>
      <c r="I188" s="145" t="str">
        <f>IFERROR(__xludf.dummyfunction("""COMPUTED_VALUE"""),"26032185977")</f>
        <v>26032185977</v>
      </c>
      <c r="J188" s="3" t="str">
        <f>IFERROR(__xludf.dummyfunction("""COMPUTED_VALUE"""),"27/03/2026 08:54:52")</f>
        <v>27/03/2026 08:54:52</v>
      </c>
      <c r="K188" s="3" t="str">
        <f>IFERROR(__xludf.dummyfunction("""COMPUTED_VALUE"""),"MARIA HELLENA DA SILVA LIMA")</f>
        <v>MARIA HELLENA DA SILVA LIMA</v>
      </c>
      <c r="L188" s="146" t="str">
        <f>IFERROR(__xludf.dummyfunction("""COMPUTED_VALUE"""),"183.573.784-63")</f>
        <v>183.573.784-63</v>
      </c>
      <c r="M188" s="146" t="str">
        <f>IFERROR(__xludf.dummyfunction("""COMPUTED_VALUE"""),"11/05/2022")</f>
        <v>11/05/2022</v>
      </c>
      <c r="N188" s="3"/>
      <c r="O188" s="3" t="str">
        <f>IFERROR(__xludf.dummyfunction("""COMPUTED_VALUE"""),"0")</f>
        <v>0</v>
      </c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hidden="1" customHeight="1" spans="1:29">
      <c r="A189" s="3"/>
      <c r="B189" s="3" t="str">
        <f t="array" ref="B189">_xlfn.XLOOKUP(D189,Tabela_Dados_Esc_JAB_2026[INEP],Tabela_Dados_Esc_JAB_2026[REGIONAL],"NE",0)</f>
        <v>REGIONAL 6</v>
      </c>
      <c r="C189" s="4" t="str">
        <f>IFERROR(__xludf.dummyfunction("""COMPUTED_VALUE"""),"CEMEI PROFESSORA MARLUCIA EVANGELISTA DE SOUZA")</f>
        <v>CEMEI PROFESSORA MARLUCIA EVANGELISTA DE SOUZA</v>
      </c>
      <c r="D189" s="3" t="str">
        <f>IFERROR(__xludf.dummyfunction("""COMPUTED_VALUE"""),"26187078")</f>
        <v>26187078</v>
      </c>
      <c r="E189" s="3" t="str">
        <f>IFERROR(__xludf.dummyfunction("""COMPUTED_VALUE"""),"INFANTIL 3")</f>
        <v>INFANTIL 3</v>
      </c>
      <c r="F189" s="3" t="str">
        <f>IFERROR(__xludf.dummyfunction("""COMPUTED_VALUE"""),"Matutino/Manhã")</f>
        <v>Matutino/Manhã</v>
      </c>
      <c r="G189" s="3" t="str">
        <f>IFERROR(__xludf.dummyfunction("""COMPUTED_VALUE"""),"Comum")</f>
        <v>Comum</v>
      </c>
      <c r="H189" s="3" t="str">
        <f>IFERROR(__xludf.dummyfunction("""COMPUTED_VALUE"""),"4")</f>
        <v>4</v>
      </c>
      <c r="I189" s="145" t="str">
        <f>IFERROR(__xludf.dummyfunction("""COMPUTED_VALUE"""),"26062014498")</f>
        <v>26062014498</v>
      </c>
      <c r="J189" s="3" t="str">
        <f>IFERROR(__xludf.dummyfunction("""COMPUTED_VALUE"""),"09/06/2026 13:23:26")</f>
        <v>09/06/2026 13:23:26</v>
      </c>
      <c r="K189" s="3" t="str">
        <f>IFERROR(__xludf.dummyfunction("""COMPUTED_VALUE"""),"Maria Cecília Lima dos Santos")</f>
        <v>Maria Cecília Lima dos Santos</v>
      </c>
      <c r="L189" s="146" t="str">
        <f>IFERROR(__xludf.dummyfunction("""COMPUTED_VALUE"""),"184.183.674-58")</f>
        <v>184.183.674-58</v>
      </c>
      <c r="M189" s="146" t="str">
        <f>IFERROR(__xludf.dummyfunction("""COMPUTED_VALUE"""),"04/01/2023")</f>
        <v>04/01/2023</v>
      </c>
      <c r="N189" s="3"/>
      <c r="O189" s="3" t="str">
        <f>IFERROR(__xludf.dummyfunction("""COMPUTED_VALUE"""),"0")</f>
        <v>0</v>
      </c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hidden="1" customHeight="1" spans="1:29">
      <c r="A190" s="3"/>
      <c r="B190" s="3" t="str">
        <f t="array" ref="B190">_xlfn.XLOOKUP(D190,Tabela_Dados_Esc_JAB_2026[INEP],Tabela_Dados_Esc_JAB_2026[REGIONAL],"NE",0)</f>
        <v>REGIONAL 6</v>
      </c>
      <c r="C190" s="4" t="str">
        <f>IFERROR(__xludf.dummyfunction("""COMPUTED_VALUE"""),"CEMEI PROFESSORA MARLUCIA EVANGELISTA DE SOUZA")</f>
        <v>CEMEI PROFESSORA MARLUCIA EVANGELISTA DE SOUZA</v>
      </c>
      <c r="D190" s="3" t="str">
        <f>IFERROR(__xludf.dummyfunction("""COMPUTED_VALUE"""),"26187078")</f>
        <v>26187078</v>
      </c>
      <c r="E190" s="3" t="str">
        <f>IFERROR(__xludf.dummyfunction("""COMPUTED_VALUE"""),"INFANTIL 3")</f>
        <v>INFANTIL 3</v>
      </c>
      <c r="F190" s="3" t="str">
        <f>IFERROR(__xludf.dummyfunction("""COMPUTED_VALUE"""),"Matutino/Manhã")</f>
        <v>Matutino/Manhã</v>
      </c>
      <c r="G190" s="3" t="str">
        <f>IFERROR(__xludf.dummyfunction("""COMPUTED_VALUE"""),"Comum")</f>
        <v>Comum</v>
      </c>
      <c r="H190" s="3" t="str">
        <f>IFERROR(__xludf.dummyfunction("""COMPUTED_VALUE"""),"5")</f>
        <v>5</v>
      </c>
      <c r="I190" s="145" t="str">
        <f>IFERROR(__xludf.dummyfunction("""COMPUTED_VALUE"""),"26082616339")</f>
        <v>26082616339</v>
      </c>
      <c r="J190" s="3" t="str">
        <f>IFERROR(__xludf.dummyfunction("""COMPUTED_VALUE"""),"25/08/2026 12:01:52")</f>
        <v>25/08/2026 12:01:52</v>
      </c>
      <c r="K190" s="3" t="str">
        <f>IFERROR(__xludf.dummyfunction("""COMPUTED_VALUE"""),"Maria Júlia dos Santos ferreira")</f>
        <v>Maria Júlia dos Santos ferreira</v>
      </c>
      <c r="L190" s="146" t="str">
        <f>IFERROR(__xludf.dummyfunction("""COMPUTED_VALUE"""),"183.685.014-07")</f>
        <v>183.685.014-07</v>
      </c>
      <c r="M190" s="146" t="str">
        <f>IFERROR(__xludf.dummyfunction("""COMPUTED_VALUE"""),"17/08/2022")</f>
        <v>17/08/2022</v>
      </c>
      <c r="N190" s="3"/>
      <c r="O190" s="3" t="str">
        <f>IFERROR(__xludf.dummyfunction("""COMPUTED_VALUE"""),"0")</f>
        <v>0</v>
      </c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hidden="1" customHeight="1" spans="1:29">
      <c r="A191" s="3"/>
      <c r="B191" s="3" t="str">
        <f t="array" ref="B191">_xlfn.XLOOKUP(D191,Tabela_Dados_Esc_JAB_2026[INEP],Tabela_Dados_Esc_JAB_2026[REGIONAL],"NE",0)</f>
        <v>REGIONAL 6</v>
      </c>
      <c r="C191" s="4" t="str">
        <f>IFERROR(__xludf.dummyfunction("""COMPUTED_VALUE"""),"CEMEI PROFESSORA MARLUCIA EVANGELISTA DE SOUZA")</f>
        <v>CEMEI PROFESSORA MARLUCIA EVANGELISTA DE SOUZA</v>
      </c>
      <c r="D191" s="3" t="str">
        <f>IFERROR(__xludf.dummyfunction("""COMPUTED_VALUE"""),"26187078")</f>
        <v>26187078</v>
      </c>
      <c r="E191" s="3" t="str">
        <f>IFERROR(__xludf.dummyfunction("""COMPUTED_VALUE"""),"INFANTIL 3")</f>
        <v>INFANTIL 3</v>
      </c>
      <c r="F191" s="3" t="str">
        <f>IFERROR(__xludf.dummyfunction("""COMPUTED_VALUE"""),"Vespertino/Tarde")</f>
        <v>Vespertino/Tarde</v>
      </c>
      <c r="G191" s="3" t="str">
        <f>IFERROR(__xludf.dummyfunction("""COMPUTED_VALUE"""),"Comum")</f>
        <v>Comum</v>
      </c>
      <c r="H191" s="3" t="str">
        <f>IFERROR(__xludf.dummyfunction("""COMPUTED_VALUE"""),"1")</f>
        <v>1</v>
      </c>
      <c r="I191" s="145" t="str">
        <f>IFERROR(__xludf.dummyfunction("""COMPUTED_VALUE"""),"26032895116")</f>
        <v>26032895116</v>
      </c>
      <c r="J191" s="3" t="str">
        <f>IFERROR(__xludf.dummyfunction("""COMPUTED_VALUE"""),"31/03/2026 08:33:16")</f>
        <v>31/03/2026 08:33:16</v>
      </c>
      <c r="K191" s="3" t="str">
        <f>IFERROR(__xludf.dummyfunction("""COMPUTED_VALUE"""),"APOLLO GABRIEL BRITO DO NASCIMENTO")</f>
        <v>APOLLO GABRIEL BRITO DO NASCIMENTO</v>
      </c>
      <c r="L191" s="146" t="str">
        <f>IFERROR(__xludf.dummyfunction("""COMPUTED_VALUE"""),"184.343.404-02")</f>
        <v>184.343.404-02</v>
      </c>
      <c r="M191" s="146" t="str">
        <f>IFERROR(__xludf.dummyfunction("""COMPUTED_VALUE"""),"03/02/2023")</f>
        <v>03/02/2023</v>
      </c>
      <c r="N191" s="3"/>
      <c r="O191" s="3" t="str">
        <f>IFERROR(__xludf.dummyfunction("""COMPUTED_VALUE"""),"0")</f>
        <v>0</v>
      </c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hidden="1" customHeight="1" spans="1:29">
      <c r="A192" s="3"/>
      <c r="B192" s="3" t="str">
        <f t="array" ref="B192">_xlfn.XLOOKUP(D192,Tabela_Dados_Esc_JAB_2026[INEP],Tabela_Dados_Esc_JAB_2026[REGIONAL],"NE",0)</f>
        <v>REGIONAL 6</v>
      </c>
      <c r="C192" s="4" t="str">
        <f>IFERROR(__xludf.dummyfunction("""COMPUTED_VALUE"""),"CEMEI PROFESSORA MARLUCIA EVANGELISTA DE SOUZA")</f>
        <v>CEMEI PROFESSORA MARLUCIA EVANGELISTA DE SOUZA</v>
      </c>
      <c r="D192" s="3" t="str">
        <f>IFERROR(__xludf.dummyfunction("""COMPUTED_VALUE"""),"26187078")</f>
        <v>26187078</v>
      </c>
      <c r="E192" s="3" t="str">
        <f>IFERROR(__xludf.dummyfunction("""COMPUTED_VALUE"""),"INFANTIL 4")</f>
        <v>INFANTIL 4</v>
      </c>
      <c r="F192" s="3" t="str">
        <f>IFERROR(__xludf.dummyfunction("""COMPUTED_VALUE"""),"Matutino/Manhã")</f>
        <v>Matutino/Manhã</v>
      </c>
      <c r="G192" s="3" t="str">
        <f>IFERROR(__xludf.dummyfunction("""COMPUTED_VALUE"""),"Comum")</f>
        <v>Comum</v>
      </c>
      <c r="H192" s="3" t="str">
        <f>IFERROR(__xludf.dummyfunction("""COMPUTED_VALUE"""),"1")</f>
        <v>1</v>
      </c>
      <c r="I192" s="145" t="str">
        <f>IFERROR(__xludf.dummyfunction("""COMPUTED_VALUE"""),"26022443512")</f>
        <v>26022443512</v>
      </c>
      <c r="J192" s="3" t="str">
        <f>IFERROR(__xludf.dummyfunction("""COMPUTED_VALUE"""),"27/02/2026 09:28:36")</f>
        <v>27/02/2026 09:28:36</v>
      </c>
      <c r="K192" s="3" t="str">
        <f>IFERROR(__xludf.dummyfunction("""COMPUTED_VALUE"""),"NOAH SALLYS DA SILVA")</f>
        <v>NOAH SALLYS DA SILVA</v>
      </c>
      <c r="L192" s="146" t="str">
        <f>IFERROR(__xludf.dummyfunction("""COMPUTED_VALUE"""),"180.273.404-03")</f>
        <v>180.273.404-03</v>
      </c>
      <c r="M192" s="146" t="str">
        <f>IFERROR(__xludf.dummyfunction("""COMPUTED_VALUE"""),"24/01/2022")</f>
        <v>24/01/2022</v>
      </c>
      <c r="N192" s="3"/>
      <c r="O192" s="3" t="str">
        <f>IFERROR(__xludf.dummyfunction("""COMPUTED_VALUE"""),"0")</f>
        <v>0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hidden="1" customHeight="1" spans="1:29">
      <c r="A193" s="3"/>
      <c r="B193" s="3" t="str">
        <f t="array" ref="B193">_xlfn.XLOOKUP(D193,Tabela_Dados_Esc_JAB_2026[INEP],Tabela_Dados_Esc_JAB_2026[REGIONAL],"NE",0)</f>
        <v>REGIONAL 6</v>
      </c>
      <c r="C193" s="4" t="str">
        <f>IFERROR(__xludf.dummyfunction("""COMPUTED_VALUE"""),"CEMEI PROFESSORA MARLUCIA EVANGELISTA DE SOUZA")</f>
        <v>CEMEI PROFESSORA MARLUCIA EVANGELISTA DE SOUZA</v>
      </c>
      <c r="D193" s="3" t="str">
        <f>IFERROR(__xludf.dummyfunction("""COMPUTED_VALUE"""),"26187078")</f>
        <v>26187078</v>
      </c>
      <c r="E193" s="3" t="str">
        <f>IFERROR(__xludf.dummyfunction("""COMPUTED_VALUE"""),"INFANTIL 4")</f>
        <v>INFANTIL 4</v>
      </c>
      <c r="F193" s="3" t="str">
        <f>IFERROR(__xludf.dummyfunction("""COMPUTED_VALUE"""),"Matutino/Manhã")</f>
        <v>Matutino/Manhã</v>
      </c>
      <c r="G193" s="3" t="str">
        <f>IFERROR(__xludf.dummyfunction("""COMPUTED_VALUE"""),"Comum")</f>
        <v>Comum</v>
      </c>
      <c r="H193" s="3" t="str">
        <f>IFERROR(__xludf.dummyfunction("""COMPUTED_VALUE"""),"2")</f>
        <v>2</v>
      </c>
      <c r="I193" s="145" t="str">
        <f>IFERROR(__xludf.dummyfunction("""COMPUTED_VALUE"""),"26032393004")</f>
        <v>26032393004</v>
      </c>
      <c r="J193" s="3" t="str">
        <f>IFERROR(__xludf.dummyfunction("""COMPUTED_VALUE"""),"18/03/2026 10:20:58")</f>
        <v>18/03/2026 10:20:58</v>
      </c>
      <c r="K193" s="3" t="str">
        <f>IFERROR(__xludf.dummyfunction("""COMPUTED_VALUE"""),"ELLENA SILVA DE LIMA")</f>
        <v>ELLENA SILVA DE LIMA</v>
      </c>
      <c r="L193" s="146" t="str">
        <f>IFERROR(__xludf.dummyfunction("""COMPUTED_VALUE"""),"179.048.964-43")</f>
        <v>179.048.964-43</v>
      </c>
      <c r="M193" s="146" t="str">
        <f>IFERROR(__xludf.dummyfunction("""COMPUTED_VALUE"""),"05/11/2021")</f>
        <v>05/11/2021</v>
      </c>
      <c r="N193" s="3"/>
      <c r="O193" s="3" t="str">
        <f>IFERROR(__xludf.dummyfunction("""COMPUTED_VALUE"""),"0")</f>
        <v>0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hidden="1" customHeight="1" spans="1:29">
      <c r="A194" s="3"/>
      <c r="B194" s="3" t="str">
        <f t="array" ref="B194">_xlfn.XLOOKUP(D194,Tabela_Dados_Esc_JAB_2026[INEP],Tabela_Dados_Esc_JAB_2026[REGIONAL],"NE",0)</f>
        <v>REGIONAL 6</v>
      </c>
      <c r="C194" s="4" t="str">
        <f>IFERROR(__xludf.dummyfunction("""COMPUTED_VALUE"""),"CEMEI PROFESSORA MARLUCIA EVANGELISTA DE SOUZA")</f>
        <v>CEMEI PROFESSORA MARLUCIA EVANGELISTA DE SOUZA</v>
      </c>
      <c r="D194" s="3" t="str">
        <f>IFERROR(__xludf.dummyfunction("""COMPUTED_VALUE"""),"26187078")</f>
        <v>26187078</v>
      </c>
      <c r="E194" s="3" t="str">
        <f>IFERROR(__xludf.dummyfunction("""COMPUTED_VALUE"""),"INFANTIL 4")</f>
        <v>INFANTIL 4</v>
      </c>
      <c r="F194" s="3" t="str">
        <f>IFERROR(__xludf.dummyfunction("""COMPUTED_VALUE"""),"Matutino/Manhã")</f>
        <v>Matutino/Manhã</v>
      </c>
      <c r="G194" s="3" t="str">
        <f>IFERROR(__xludf.dummyfunction("""COMPUTED_VALUE"""),"Comum")</f>
        <v>Comum</v>
      </c>
      <c r="H194" s="3" t="str">
        <f>IFERROR(__xludf.dummyfunction("""COMPUTED_VALUE"""),"3")</f>
        <v>3</v>
      </c>
      <c r="I194" s="145" t="str">
        <f>IFERROR(__xludf.dummyfunction("""COMPUTED_VALUE"""),"26032605140")</f>
        <v>26032605140</v>
      </c>
      <c r="J194" s="3" t="str">
        <f>IFERROR(__xludf.dummyfunction("""COMPUTED_VALUE"""),"31/03/2026 08:44:00")</f>
        <v>31/03/2026 08:44:00</v>
      </c>
      <c r="K194" s="3" t="str">
        <f>IFERROR(__xludf.dummyfunction("""COMPUTED_VALUE"""),"GEOVANNA HELOÁ MARTINS RODRIGUES")</f>
        <v>GEOVANNA HELOÁ MARTINS RODRIGUES</v>
      </c>
      <c r="L194" s="146" t="str">
        <f>IFERROR(__xludf.dummyfunction("""COMPUTED_VALUE"""),"160.602.139-79")</f>
        <v>160.602.139-79</v>
      </c>
      <c r="M194" s="146" t="str">
        <f>IFERROR(__xludf.dummyfunction("""COMPUTED_VALUE"""),"18/09/2021")</f>
        <v>18/09/2021</v>
      </c>
      <c r="N194" s="3"/>
      <c r="O194" s="3" t="str">
        <f>IFERROR(__xludf.dummyfunction("""COMPUTED_VALUE"""),"0")</f>
        <v>0</v>
      </c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hidden="1" customHeight="1" spans="1:29">
      <c r="A195" s="3"/>
      <c r="B195" s="3" t="str">
        <f t="array" ref="B195">_xlfn.XLOOKUP(D195,Tabela_Dados_Esc_JAB_2026[INEP],Tabela_Dados_Esc_JAB_2026[REGIONAL],"NE",0)</f>
        <v>REGIONAL 6</v>
      </c>
      <c r="C195" s="4" t="str">
        <f>IFERROR(__xludf.dummyfunction("""COMPUTED_VALUE"""),"CEMEI PROFESSORA MARLUCIA EVANGELISTA DE SOUZA")</f>
        <v>CEMEI PROFESSORA MARLUCIA EVANGELISTA DE SOUZA</v>
      </c>
      <c r="D195" s="3" t="str">
        <f>IFERROR(__xludf.dummyfunction("""COMPUTED_VALUE"""),"26187078")</f>
        <v>26187078</v>
      </c>
      <c r="E195" s="3" t="str">
        <f>IFERROR(__xludf.dummyfunction("""COMPUTED_VALUE"""),"INFANTIL 4")</f>
        <v>INFANTIL 4</v>
      </c>
      <c r="F195" s="3" t="str">
        <f>IFERROR(__xludf.dummyfunction("""COMPUTED_VALUE"""),"Matutino/Manhã")</f>
        <v>Matutino/Manhã</v>
      </c>
      <c r="G195" s="3" t="str">
        <f>IFERROR(__xludf.dummyfunction("""COMPUTED_VALUE"""),"Comum")</f>
        <v>Comum</v>
      </c>
      <c r="H195" s="3" t="str">
        <f>IFERROR(__xludf.dummyfunction("""COMPUTED_VALUE"""),"4")</f>
        <v>4</v>
      </c>
      <c r="I195" s="145" t="str">
        <f>IFERROR(__xludf.dummyfunction("""COMPUTED_VALUE"""),"26042498422")</f>
        <v>26042498422</v>
      </c>
      <c r="J195" s="3" t="str">
        <f>IFERROR(__xludf.dummyfunction("""COMPUTED_VALUE"""),"15/04/2026 09:10:01")</f>
        <v>15/04/2026 09:10:01</v>
      </c>
      <c r="K195" s="3" t="str">
        <f>IFERROR(__xludf.dummyfunction("""COMPUTED_VALUE"""),"MATHEUS HENRIQUE OLIVEIRA DE LIMA")</f>
        <v>MATHEUS HENRIQUE OLIVEIRA DE LIMA</v>
      </c>
      <c r="L195" s="146" t="str">
        <f>IFERROR(__xludf.dummyfunction("""COMPUTED_VALUE"""),"177.768.694-65")</f>
        <v>177.768.694-65</v>
      </c>
      <c r="M195" s="146" t="str">
        <f>IFERROR(__xludf.dummyfunction("""COMPUTED_VALUE"""),"04/05/2021")</f>
        <v>04/05/2021</v>
      </c>
      <c r="N195" s="3"/>
      <c r="O195" s="3" t="str">
        <f>IFERROR(__xludf.dummyfunction("""COMPUTED_VALUE"""),"0")</f>
        <v>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hidden="1" customHeight="1" spans="1:29">
      <c r="A196" s="3"/>
      <c r="B196" s="3" t="str">
        <f t="array" ref="B196">_xlfn.XLOOKUP(D196,Tabela_Dados_Esc_JAB_2026[INEP],Tabela_Dados_Esc_JAB_2026[REGIONAL],"NE",0)</f>
        <v>REGIONAL 6</v>
      </c>
      <c r="C196" s="4" t="str">
        <f>IFERROR(__xludf.dummyfunction("""COMPUTED_VALUE"""),"CEMEI PROFESSORA MARLUCIA EVANGELISTA DE SOUZA")</f>
        <v>CEMEI PROFESSORA MARLUCIA EVANGELISTA DE SOUZA</v>
      </c>
      <c r="D196" s="3" t="str">
        <f>IFERROR(__xludf.dummyfunction("""COMPUTED_VALUE"""),"26187078")</f>
        <v>26187078</v>
      </c>
      <c r="E196" s="3" t="str">
        <f>IFERROR(__xludf.dummyfunction("""COMPUTED_VALUE"""),"INFANTIL 4")</f>
        <v>INFANTIL 4</v>
      </c>
      <c r="F196" s="3" t="str">
        <f>IFERROR(__xludf.dummyfunction("""COMPUTED_VALUE"""),"Matutino/Manhã")</f>
        <v>Matutino/Manhã</v>
      </c>
      <c r="G196" s="3" t="str">
        <f>IFERROR(__xludf.dummyfunction("""COMPUTED_VALUE"""),"Comum")</f>
        <v>Comum</v>
      </c>
      <c r="H196" s="3" t="str">
        <f>IFERROR(__xludf.dummyfunction("""COMPUTED_VALUE"""),"5")</f>
        <v>5</v>
      </c>
      <c r="I196" s="145" t="str">
        <f>IFERROR(__xludf.dummyfunction("""COMPUTED_VALUE"""),"26072817165")</f>
        <v>26072817165</v>
      </c>
      <c r="J196" s="3" t="str">
        <f>IFERROR(__xludf.dummyfunction("""COMPUTED_VALUE"""),"28/07/2026 14:34:35")</f>
        <v>28/07/2026 14:34:35</v>
      </c>
      <c r="K196" s="3" t="str">
        <f>IFERROR(__xludf.dummyfunction("""COMPUTED_VALUE"""),"samuel mario santana pereira cabral")</f>
        <v>samuel mario santana pereira cabral</v>
      </c>
      <c r="L196" s="146" t="str">
        <f>IFERROR(__xludf.dummyfunction("""COMPUTED_VALUE"""),"176.445.204-65")</f>
        <v>176.445.204-65</v>
      </c>
      <c r="M196" s="146" t="str">
        <f>IFERROR(__xludf.dummyfunction("""COMPUTED_VALUE"""),"13/04/2021")</f>
        <v>13/04/2021</v>
      </c>
      <c r="N196" s="3"/>
      <c r="O196" s="3" t="str">
        <f>IFERROR(__xludf.dummyfunction("""COMPUTED_VALUE"""),"0")</f>
        <v>0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hidden="1" customHeight="1" spans="1:29">
      <c r="A197" s="3"/>
      <c r="B197" s="3" t="str">
        <f t="array" ref="B197">_xlfn.XLOOKUP(D197,Tabela_Dados_Esc_JAB_2026[INEP],Tabela_Dados_Esc_JAB_2026[REGIONAL],"NE",0)</f>
        <v>REGIONAL 6</v>
      </c>
      <c r="C197" s="4" t="str">
        <f>IFERROR(__xludf.dummyfunction("""COMPUTED_VALUE"""),"CEMEI PROFESSORA MARLUCIA EVANGELISTA DE SOUZA")</f>
        <v>CEMEI PROFESSORA MARLUCIA EVANGELISTA DE SOUZA</v>
      </c>
      <c r="D197" s="3" t="str">
        <f>IFERROR(__xludf.dummyfunction("""COMPUTED_VALUE"""),"26187078")</f>
        <v>26187078</v>
      </c>
      <c r="E197" s="3" t="str">
        <f>IFERROR(__xludf.dummyfunction("""COMPUTED_VALUE"""),"INFANTIL 4")</f>
        <v>INFANTIL 4</v>
      </c>
      <c r="F197" s="3" t="str">
        <f>IFERROR(__xludf.dummyfunction("""COMPUTED_VALUE"""),"Vespertino/Tarde")</f>
        <v>Vespertino/Tarde</v>
      </c>
      <c r="G197" s="3" t="str">
        <f>IFERROR(__xludf.dummyfunction("""COMPUTED_VALUE"""),"Comum")</f>
        <v>Comum</v>
      </c>
      <c r="H197" s="3" t="str">
        <f>IFERROR(__xludf.dummyfunction("""COMPUTED_VALUE"""),"1")</f>
        <v>1</v>
      </c>
      <c r="I197" s="145" t="str">
        <f>IFERROR(__xludf.dummyfunction("""COMPUTED_VALUE"""),"26022453072")</f>
        <v>26022453072</v>
      </c>
      <c r="J197" s="3" t="str">
        <f>IFERROR(__xludf.dummyfunction("""COMPUTED_VALUE"""),"09/02/2026 12:53:59")</f>
        <v>09/02/2026 12:53:59</v>
      </c>
      <c r="K197" s="3" t="str">
        <f>IFERROR(__xludf.dummyfunction("""COMPUTED_VALUE"""),"RHAVI TELES SILVA")</f>
        <v>RHAVI TELES SILVA</v>
      </c>
      <c r="L197" s="146" t="str">
        <f>IFERROR(__xludf.dummyfunction("""COMPUTED_VALUE"""),"178.592.664-07")</f>
        <v>178.592.664-07</v>
      </c>
      <c r="M197" s="146" t="str">
        <f>IFERROR(__xludf.dummyfunction("""COMPUTED_VALUE"""),"02/10/2021")</f>
        <v>02/10/2021</v>
      </c>
      <c r="N197" s="3"/>
      <c r="O197" s="3" t="str">
        <f>IFERROR(__xludf.dummyfunction("""COMPUTED_VALUE"""),"0")</f>
        <v>0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hidden="1" customHeight="1" spans="1:29">
      <c r="A198" s="3"/>
      <c r="B198" s="3" t="str">
        <f t="array" ref="B198">_xlfn.XLOOKUP(D198,Tabela_Dados_Esc_JAB_2026[INEP],Tabela_Dados_Esc_JAB_2026[REGIONAL],"NE",0)</f>
        <v>REGIONAL 6</v>
      </c>
      <c r="C198" s="4" t="str">
        <f>IFERROR(__xludf.dummyfunction("""COMPUTED_VALUE"""),"CEMEI PROFESSORA MARLUCIA EVANGELISTA DE SOUZA")</f>
        <v>CEMEI PROFESSORA MARLUCIA EVANGELISTA DE SOUZA</v>
      </c>
      <c r="D198" s="3" t="str">
        <f>IFERROR(__xludf.dummyfunction("""COMPUTED_VALUE"""),"26187078")</f>
        <v>26187078</v>
      </c>
      <c r="E198" s="3" t="str">
        <f>IFERROR(__xludf.dummyfunction("""COMPUTED_VALUE"""),"INFANTIL 4")</f>
        <v>INFANTIL 4</v>
      </c>
      <c r="F198" s="3" t="str">
        <f>IFERROR(__xludf.dummyfunction("""COMPUTED_VALUE"""),"Vespertino/Tarde")</f>
        <v>Vespertino/Tarde</v>
      </c>
      <c r="G198" s="3" t="str">
        <f>IFERROR(__xludf.dummyfunction("""COMPUTED_VALUE"""),"Comum")</f>
        <v>Comum</v>
      </c>
      <c r="H198" s="3" t="str">
        <f>IFERROR(__xludf.dummyfunction("""COMPUTED_VALUE"""),"2")</f>
        <v>2</v>
      </c>
      <c r="I198" s="145" t="str">
        <f>IFERROR(__xludf.dummyfunction("""COMPUTED_VALUE"""),"26032122547")</f>
        <v>26032122547</v>
      </c>
      <c r="J198" s="3" t="str">
        <f>IFERROR(__xludf.dummyfunction("""COMPUTED_VALUE"""),"18/03/2026 11:31:20")</f>
        <v>18/03/2026 11:31:20</v>
      </c>
      <c r="K198" s="3" t="str">
        <f>IFERROR(__xludf.dummyfunction("""COMPUTED_VALUE"""),"MARIA AYLLA SOFIA CHAVIER SILVA")</f>
        <v>MARIA AYLLA SOFIA CHAVIER SILVA</v>
      </c>
      <c r="L198" s="146" t="str">
        <f>IFERROR(__xludf.dummyfunction("""COMPUTED_VALUE"""),"177.533.574-76")</f>
        <v>177.533.574-76</v>
      </c>
      <c r="M198" s="146" t="str">
        <f>IFERROR(__xludf.dummyfunction("""COMPUTED_VALUE"""),"30/06/2021")</f>
        <v>30/06/2021</v>
      </c>
      <c r="N198" s="3"/>
      <c r="O198" s="3" t="str">
        <f>IFERROR(__xludf.dummyfunction("""COMPUTED_VALUE"""),"0")</f>
        <v>0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hidden="1" customHeight="1" spans="1:29">
      <c r="A199" s="3"/>
      <c r="B199" s="3" t="str">
        <f t="array" ref="B199">_xlfn.XLOOKUP(D199,Tabela_Dados_Esc_JAB_2026[INEP],Tabela_Dados_Esc_JAB_2026[REGIONAL],"NE",0)</f>
        <v>REGIONAL 6</v>
      </c>
      <c r="C199" s="4" t="str">
        <f>IFERROR(__xludf.dummyfunction("""COMPUTED_VALUE"""),"CEMEI PROFESSORA MARLUCIA EVANGELISTA DE SOUZA")</f>
        <v>CEMEI PROFESSORA MARLUCIA EVANGELISTA DE SOUZA</v>
      </c>
      <c r="D199" s="3" t="str">
        <f>IFERROR(__xludf.dummyfunction("""COMPUTED_VALUE"""),"26187078")</f>
        <v>26187078</v>
      </c>
      <c r="E199" s="3" t="str">
        <f>IFERROR(__xludf.dummyfunction("""COMPUTED_VALUE"""),"INFANTIL 5")</f>
        <v>INFANTIL 5</v>
      </c>
      <c r="F199" s="3" t="str">
        <f>IFERROR(__xludf.dummyfunction("""COMPUTED_VALUE"""),"Matutino/Manhã")</f>
        <v>Matutino/Manhã</v>
      </c>
      <c r="G199" s="3" t="str">
        <f>IFERROR(__xludf.dummyfunction("""COMPUTED_VALUE"""),"Comum")</f>
        <v>Comum</v>
      </c>
      <c r="H199" s="3" t="str">
        <f>IFERROR(__xludf.dummyfunction("""COMPUTED_VALUE"""),"1")</f>
        <v>1</v>
      </c>
      <c r="I199" s="145" t="str">
        <f>IFERROR(__xludf.dummyfunction("""COMPUTED_VALUE"""),"26082785338")</f>
        <v>26082785338</v>
      </c>
      <c r="J199" s="3" t="str">
        <f>IFERROR(__xludf.dummyfunction("""COMPUTED_VALUE"""),"27/08/2026 07:47:56")</f>
        <v>27/08/2026 07:47:56</v>
      </c>
      <c r="K199" s="3" t="str">
        <f>IFERROR(__xludf.dummyfunction("""COMPUTED_VALUE"""),"DAVID GABRIEL DA SILVA")</f>
        <v>DAVID GABRIEL DA SILVA</v>
      </c>
      <c r="L199" s="146" t="str">
        <f>IFERROR(__xludf.dummyfunction("""COMPUTED_VALUE"""),"182.922.454-99")</f>
        <v>182.922.454-99</v>
      </c>
      <c r="M199" s="146" t="str">
        <f>IFERROR(__xludf.dummyfunction("""COMPUTED_VALUE"""),"28/08/2020")</f>
        <v>28/08/2020</v>
      </c>
      <c r="N199" s="3"/>
      <c r="O199" s="3" t="str">
        <f>IFERROR(__xludf.dummyfunction("""COMPUTED_VALUE"""),"0")</f>
        <v>0</v>
      </c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hidden="1" customHeight="1" spans="1:29">
      <c r="A200" s="3"/>
      <c r="B200" s="3" t="str">
        <f t="array" ref="B200">_xlfn.XLOOKUP(D200,Tabela_Dados_Esc_JAB_2026[INEP],Tabela_Dados_Esc_JAB_2026[REGIONAL],"NE",0)</f>
        <v>REGIONAL 6</v>
      </c>
      <c r="C200" s="4" t="str">
        <f>IFERROR(__xludf.dummyfunction("""COMPUTED_VALUE"""),"CEMEI PROFESSORA RAKELLY NOGUEIRA DO NASCIMENTO")</f>
        <v>CEMEI PROFESSORA RAKELLY NOGUEIRA DO NASCIMENTO</v>
      </c>
      <c r="D200" s="3" t="str">
        <f>IFERROR(__xludf.dummyfunction("""COMPUTED_VALUE"""),"26192420")</f>
        <v>26192420</v>
      </c>
      <c r="E200" s="3" t="str">
        <f>IFERROR(__xludf.dummyfunction("""COMPUTED_VALUE"""),"INFANTIL 1")</f>
        <v>INFANTIL 1</v>
      </c>
      <c r="F200" s="3" t="str">
        <f>IFERROR(__xludf.dummyfunction("""COMPUTED_VALUE"""),"Integral")</f>
        <v>Integral</v>
      </c>
      <c r="G200" s="3" t="str">
        <f>IFERROR(__xludf.dummyfunction("""COMPUTED_VALUE"""),"Comum")</f>
        <v>Comum</v>
      </c>
      <c r="H200" s="3" t="str">
        <f>IFERROR(__xludf.dummyfunction("""COMPUTED_VALUE"""),"1")</f>
        <v>1</v>
      </c>
      <c r="I200" s="145" t="str">
        <f>IFERROR(__xludf.dummyfunction("""COMPUTED_VALUE"""),"26032717706")</f>
        <v>26032717706</v>
      </c>
      <c r="J200" s="3" t="str">
        <f>IFERROR(__xludf.dummyfunction("""COMPUTED_VALUE"""),"17/03/2026 11:53:45")</f>
        <v>17/03/2026 11:53:45</v>
      </c>
      <c r="K200" s="3" t="str">
        <f>IFERROR(__xludf.dummyfunction("""COMPUTED_VALUE"""),"SARA BATISTA DE SOUZA")</f>
        <v>SARA BATISTA DE SOUZA</v>
      </c>
      <c r="L200" s="146" t="str">
        <f>IFERROR(__xludf.dummyfunction("""COMPUTED_VALUE"""),"005.859.174-50")</f>
        <v>005.859.174-50</v>
      </c>
      <c r="M200" s="146" t="str">
        <f>IFERROR(__xludf.dummyfunction("""COMPUTED_VALUE"""),"09/04/2025")</f>
        <v>09/04/2025</v>
      </c>
      <c r="N200" s="3"/>
      <c r="O200" s="3" t="str">
        <f>IFERROR(__xludf.dummyfunction("""COMPUTED_VALUE"""),"0")</f>
        <v>0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hidden="1" customHeight="1" spans="1:29">
      <c r="A201" s="3"/>
      <c r="B201" s="3" t="str">
        <f t="array" ref="B201">_xlfn.XLOOKUP(D201,Tabela_Dados_Esc_JAB_2026[INEP],Tabela_Dados_Esc_JAB_2026[REGIONAL],"NE",0)</f>
        <v>REGIONAL 6</v>
      </c>
      <c r="C201" s="4" t="str">
        <f>IFERROR(__xludf.dummyfunction("""COMPUTED_VALUE"""),"CEMEI PROFESSORA RAKELLY NOGUEIRA DO NASCIMENTO")</f>
        <v>CEMEI PROFESSORA RAKELLY NOGUEIRA DO NASCIMENTO</v>
      </c>
      <c r="D201" s="3" t="str">
        <f>IFERROR(__xludf.dummyfunction("""COMPUTED_VALUE"""),"26192420")</f>
        <v>26192420</v>
      </c>
      <c r="E201" s="3" t="str">
        <f>IFERROR(__xludf.dummyfunction("""COMPUTED_VALUE"""),"INFANTIL 1")</f>
        <v>INFANTIL 1</v>
      </c>
      <c r="F201" s="3" t="str">
        <f>IFERROR(__xludf.dummyfunction("""COMPUTED_VALUE"""),"Integral")</f>
        <v>Integral</v>
      </c>
      <c r="G201" s="3" t="str">
        <f>IFERROR(__xludf.dummyfunction("""COMPUTED_VALUE"""),"Comum")</f>
        <v>Comum</v>
      </c>
      <c r="H201" s="3" t="str">
        <f>IFERROR(__xludf.dummyfunction("""COMPUTED_VALUE"""),"2")</f>
        <v>2</v>
      </c>
      <c r="I201" s="145" t="str">
        <f>IFERROR(__xludf.dummyfunction("""COMPUTED_VALUE"""),"26052457217")</f>
        <v>26052457217</v>
      </c>
      <c r="J201" s="3" t="str">
        <f>IFERROR(__xludf.dummyfunction("""COMPUTED_VALUE"""),"22/05/2026 09:50:12")</f>
        <v>22/05/2026 09:50:12</v>
      </c>
      <c r="K201" s="3" t="str">
        <f>IFERROR(__xludf.dummyfunction("""COMPUTED_VALUE"""),"Théo Vinícius Galdino dos Santos")</f>
        <v>Théo Vinícius Galdino dos Santos</v>
      </c>
      <c r="L201" s="146" t="str">
        <f>IFERROR(__xludf.dummyfunction("""COMPUTED_VALUE"""),"006.594.094-61")</f>
        <v>006.594.094-61</v>
      </c>
      <c r="M201" s="146" t="str">
        <f>IFERROR(__xludf.dummyfunction("""COMPUTED_VALUE"""),"28/06/2025")</f>
        <v>28/06/2025</v>
      </c>
      <c r="N201" s="3"/>
      <c r="O201" s="3" t="str">
        <f>IFERROR(__xludf.dummyfunction("""COMPUTED_VALUE"""),"0")</f>
        <v>0</v>
      </c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hidden="1" customHeight="1" spans="1:29">
      <c r="A202" s="3"/>
      <c r="B202" s="3" t="str">
        <f t="array" ref="B202">_xlfn.XLOOKUP(D202,Tabela_Dados_Esc_JAB_2026[INEP],Tabela_Dados_Esc_JAB_2026[REGIONAL],"NE",0)</f>
        <v>REGIONAL 6</v>
      </c>
      <c r="C202" s="4" t="str">
        <f>IFERROR(__xludf.dummyfunction("""COMPUTED_VALUE"""),"CEMEI PROFESSORA RAKELLY NOGUEIRA DO NASCIMENTO")</f>
        <v>CEMEI PROFESSORA RAKELLY NOGUEIRA DO NASCIMENTO</v>
      </c>
      <c r="D202" s="3" t="str">
        <f>IFERROR(__xludf.dummyfunction("""COMPUTED_VALUE"""),"26192420")</f>
        <v>26192420</v>
      </c>
      <c r="E202" s="3" t="str">
        <f>IFERROR(__xludf.dummyfunction("""COMPUTED_VALUE"""),"INFANTIL 1")</f>
        <v>INFANTIL 1</v>
      </c>
      <c r="F202" s="3" t="str">
        <f>IFERROR(__xludf.dummyfunction("""COMPUTED_VALUE"""),"Integral")</f>
        <v>Integral</v>
      </c>
      <c r="G202" s="3" t="str">
        <f>IFERROR(__xludf.dummyfunction("""COMPUTED_VALUE"""),"Comum")</f>
        <v>Comum</v>
      </c>
      <c r="H202" s="3" t="str">
        <f>IFERROR(__xludf.dummyfunction("""COMPUTED_VALUE"""),"3")</f>
        <v>3</v>
      </c>
      <c r="I202" s="145" t="str">
        <f>IFERROR(__xludf.dummyfunction("""COMPUTED_VALUE"""),"26092458117")</f>
        <v>26092458117</v>
      </c>
      <c r="J202" s="3" t="str">
        <f>IFERROR(__xludf.dummyfunction("""COMPUTED_VALUE"""),"02/09/2026 08:28:02")</f>
        <v>02/09/2026 08:28:02</v>
      </c>
      <c r="K202" s="3" t="str">
        <f>IFERROR(__xludf.dummyfunction("""COMPUTED_VALUE"""),"Merlya Maria da Silva Andrade")</f>
        <v>Merlya Maria da Silva Andrade</v>
      </c>
      <c r="L202" s="146" t="str">
        <f>IFERROR(__xludf.dummyfunction("""COMPUTED_VALUE"""),"006.047.624-96")</f>
        <v>006.047.624-96</v>
      </c>
      <c r="M202" s="146" t="str">
        <f>IFERROR(__xludf.dummyfunction("""COMPUTED_VALUE"""),"22/04/2025")</f>
        <v>22/04/2025</v>
      </c>
      <c r="N202" s="3"/>
      <c r="O202" s="3" t="str">
        <f>IFERROR(__xludf.dummyfunction("""COMPUTED_VALUE"""),"0")</f>
        <v>0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hidden="1" customHeight="1" spans="1:29">
      <c r="A203" s="3"/>
      <c r="B203" s="3" t="str">
        <f t="array" ref="B203">_xlfn.XLOOKUP(D203,Tabela_Dados_Esc_JAB_2026[INEP],Tabela_Dados_Esc_JAB_2026[REGIONAL],"NE",0)</f>
        <v>REGIONAL 6</v>
      </c>
      <c r="C203" s="4" t="str">
        <f>IFERROR(__xludf.dummyfunction("""COMPUTED_VALUE"""),"CEMEI PROFESSORA RAKELLY NOGUEIRA DO NASCIMENTO")</f>
        <v>CEMEI PROFESSORA RAKELLY NOGUEIRA DO NASCIMENTO</v>
      </c>
      <c r="D203" s="3" t="str">
        <f>IFERROR(__xludf.dummyfunction("""COMPUTED_VALUE"""),"26192420")</f>
        <v>26192420</v>
      </c>
      <c r="E203" s="3" t="str">
        <f>IFERROR(__xludf.dummyfunction("""COMPUTED_VALUE"""),"INFANTIL 1")</f>
        <v>INFANTIL 1</v>
      </c>
      <c r="F203" s="3" t="str">
        <f>IFERROR(__xludf.dummyfunction("""COMPUTED_VALUE"""),"Integral")</f>
        <v>Integral</v>
      </c>
      <c r="G203" s="3" t="str">
        <f>IFERROR(__xludf.dummyfunction("""COMPUTED_VALUE"""),"Comum")</f>
        <v>Comum</v>
      </c>
      <c r="H203" s="3" t="str">
        <f>IFERROR(__xludf.dummyfunction("""COMPUTED_VALUE"""),"4")</f>
        <v>4</v>
      </c>
      <c r="I203" s="145" t="str">
        <f>IFERROR(__xludf.dummyfunction("""COMPUTED_VALUE"""),"26092812570")</f>
        <v>26092812570</v>
      </c>
      <c r="J203" s="3" t="str">
        <f>IFERROR(__xludf.dummyfunction("""COMPUTED_VALUE"""),"22/09/2026 12:40:29")</f>
        <v>22/09/2026 12:40:29</v>
      </c>
      <c r="K203" s="3" t="str">
        <f>IFERROR(__xludf.dummyfunction("""COMPUTED_VALUE"""),"Dante Vinícius Farias de Melo Andrade")</f>
        <v>Dante Vinícius Farias de Melo Andrade</v>
      </c>
      <c r="L203" s="146" t="str">
        <f>IFERROR(__xludf.dummyfunction("""COMPUTED_VALUE"""),"006.648.864-85")</f>
        <v>006.648.864-85</v>
      </c>
      <c r="M203" s="146" t="str">
        <f>IFERROR(__xludf.dummyfunction("""COMPUTED_VALUE"""),"03/07/2025")</f>
        <v>03/07/2025</v>
      </c>
      <c r="N203" s="3"/>
      <c r="O203" s="3" t="str">
        <f>IFERROR(__xludf.dummyfunction("""COMPUTED_VALUE"""),"0")</f>
        <v>0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hidden="1" customHeight="1" spans="1:29">
      <c r="A204" s="3"/>
      <c r="B204" s="3" t="str">
        <f t="array" ref="B204">_xlfn.XLOOKUP(D204,Tabela_Dados_Esc_JAB_2026[INEP],Tabela_Dados_Esc_JAB_2026[REGIONAL],"NE",0)</f>
        <v>REGIONAL 6</v>
      </c>
      <c r="C204" s="4" t="str">
        <f>IFERROR(__xludf.dummyfunction("""COMPUTED_VALUE"""),"CEMEI PROFESSORA RAKELLY NOGUEIRA DO NASCIMENTO")</f>
        <v>CEMEI PROFESSORA RAKELLY NOGUEIRA DO NASCIMENTO</v>
      </c>
      <c r="D204" s="3" t="str">
        <f>IFERROR(__xludf.dummyfunction("""COMPUTED_VALUE"""),"26192420")</f>
        <v>26192420</v>
      </c>
      <c r="E204" s="3" t="str">
        <f>IFERROR(__xludf.dummyfunction("""COMPUTED_VALUE"""),"INFANTIL 1")</f>
        <v>INFANTIL 1</v>
      </c>
      <c r="F204" s="3" t="str">
        <f>IFERROR(__xludf.dummyfunction("""COMPUTED_VALUE"""),"Integral")</f>
        <v>Integral</v>
      </c>
      <c r="G204" s="3" t="str">
        <f>IFERROR(__xludf.dummyfunction("""COMPUTED_VALUE"""),"Comum")</f>
        <v>Comum</v>
      </c>
      <c r="H204" s="3" t="str">
        <f>IFERROR(__xludf.dummyfunction("""COMPUTED_VALUE"""),"5")</f>
        <v>5</v>
      </c>
      <c r="I204" s="145" t="str">
        <f>IFERROR(__xludf.dummyfunction("""COMPUTED_VALUE"""),"26092002486")</f>
        <v>26092002486</v>
      </c>
      <c r="J204" s="3" t="str">
        <f>IFERROR(__xludf.dummyfunction("""COMPUTED_VALUE"""),"24/09/2026 07:34:28")</f>
        <v>24/09/2026 07:34:28</v>
      </c>
      <c r="K204" s="3" t="str">
        <f>IFERROR(__xludf.dummyfunction("""COMPUTED_VALUE"""),"Ana Livia Silva de Carvalho")</f>
        <v>Ana Livia Silva de Carvalho</v>
      </c>
      <c r="L204" s="146" t="str">
        <f>IFERROR(__xludf.dummyfunction("""COMPUTED_VALUE"""),"004.239.994-78")</f>
        <v>004.239.994-78</v>
      </c>
      <c r="M204" s="146" t="str">
        <f>IFERROR(__xludf.dummyfunction("""COMPUTED_VALUE"""),"10/09/2024")</f>
        <v>10/09/2024</v>
      </c>
      <c r="N204" s="3"/>
      <c r="O204" s="3" t="str">
        <f>IFERROR(__xludf.dummyfunction("""COMPUTED_VALUE"""),"0")</f>
        <v>0</v>
      </c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hidden="1" customHeight="1" spans="1:29">
      <c r="A205" s="3"/>
      <c r="B205" s="3" t="str">
        <f t="array" ref="B205">_xlfn.XLOOKUP(D205,Tabela_Dados_Esc_JAB_2026[INEP],Tabela_Dados_Esc_JAB_2026[REGIONAL],"NE",0)</f>
        <v>REGIONAL 6</v>
      </c>
      <c r="C205" s="4" t="str">
        <f>IFERROR(__xludf.dummyfunction("""COMPUTED_VALUE"""),"CEMEI PROFESSORA RAKELLY NOGUEIRA DO NASCIMENTO")</f>
        <v>CEMEI PROFESSORA RAKELLY NOGUEIRA DO NASCIMENTO</v>
      </c>
      <c r="D205" s="3" t="str">
        <f>IFERROR(__xludf.dummyfunction("""COMPUTED_VALUE"""),"26192420")</f>
        <v>26192420</v>
      </c>
      <c r="E205" s="3" t="str">
        <f>IFERROR(__xludf.dummyfunction("""COMPUTED_VALUE"""),"INFANTIL 1")</f>
        <v>INFANTIL 1</v>
      </c>
      <c r="F205" s="3" t="str">
        <f>IFERROR(__xludf.dummyfunction("""COMPUTED_VALUE"""),"Integral")</f>
        <v>Integral</v>
      </c>
      <c r="G205" s="3" t="str">
        <f>IFERROR(__xludf.dummyfunction("""COMPUTED_VALUE"""),"Comum")</f>
        <v>Comum</v>
      </c>
      <c r="H205" s="3" t="str">
        <f>IFERROR(__xludf.dummyfunction("""COMPUTED_VALUE"""),"6")</f>
        <v>6</v>
      </c>
      <c r="I205" s="145" t="str">
        <f>IFERROR(__xludf.dummyfunction("""COMPUTED_VALUE"""),"26092363143")</f>
        <v>26092363143</v>
      </c>
      <c r="J205" s="3" t="str">
        <f>IFERROR(__xludf.dummyfunction("""COMPUTED_VALUE"""),"24/09/2026 10:12:12")</f>
        <v>24/09/2026 10:12:12</v>
      </c>
      <c r="K205" s="3" t="str">
        <f>IFERROR(__xludf.dummyfunction("""COMPUTED_VALUE"""),"Isadora Sophia Aguiar Nascimento")</f>
        <v>Isadora Sophia Aguiar Nascimento</v>
      </c>
      <c r="L205" s="146" t="str">
        <f>IFERROR(__xludf.dummyfunction("""COMPUTED_VALUE"""),"004.246.464-12")</f>
        <v>004.246.464-12</v>
      </c>
      <c r="M205" s="146" t="str">
        <f>IFERROR(__xludf.dummyfunction("""COMPUTED_VALUE"""),"01/10/2024")</f>
        <v>01/10/2024</v>
      </c>
      <c r="N205" s="3"/>
      <c r="O205" s="3" t="str">
        <f>IFERROR(__xludf.dummyfunction("""COMPUTED_VALUE"""),"0")</f>
        <v>0</v>
      </c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hidden="1" customHeight="1" spans="1:29">
      <c r="A206" s="3"/>
      <c r="B206" s="3" t="str">
        <f t="array" ref="B206">_xlfn.XLOOKUP(D206,Tabela_Dados_Esc_JAB_2026[INEP],Tabela_Dados_Esc_JAB_2026[REGIONAL],"NE",0)</f>
        <v>REGIONAL 6</v>
      </c>
      <c r="C206" s="4" t="str">
        <f>IFERROR(__xludf.dummyfunction("""COMPUTED_VALUE"""),"CEMEI PROFESSORA RAKELLY NOGUEIRA DO NASCIMENTO")</f>
        <v>CEMEI PROFESSORA RAKELLY NOGUEIRA DO NASCIMENTO</v>
      </c>
      <c r="D206" s="3" t="str">
        <f>IFERROR(__xludf.dummyfunction("""COMPUTED_VALUE"""),"26192420")</f>
        <v>26192420</v>
      </c>
      <c r="E206" s="3" t="str">
        <f>IFERROR(__xludf.dummyfunction("""COMPUTED_VALUE"""),"INFANTIL 2")</f>
        <v>INFANTIL 2</v>
      </c>
      <c r="F206" s="3" t="str">
        <f>IFERROR(__xludf.dummyfunction("""COMPUTED_VALUE"""),"Integral")</f>
        <v>Integral</v>
      </c>
      <c r="G206" s="3" t="str">
        <f>IFERROR(__xludf.dummyfunction("""COMPUTED_VALUE"""),"Comum")</f>
        <v>Comum</v>
      </c>
      <c r="H206" s="3" t="str">
        <f>IFERROR(__xludf.dummyfunction("""COMPUTED_VALUE"""),"1")</f>
        <v>1</v>
      </c>
      <c r="I206" s="145" t="str">
        <f>IFERROR(__xludf.dummyfunction("""COMPUTED_VALUE"""),"26072515017")</f>
        <v>26072515017</v>
      </c>
      <c r="J206" s="3" t="str">
        <f>IFERROR(__xludf.dummyfunction("""COMPUTED_VALUE"""),"27/07/2026 10:15:30")</f>
        <v>27/07/2026 10:15:30</v>
      </c>
      <c r="K206" s="3" t="str">
        <f>IFERROR(__xludf.dummyfunction("""COMPUTED_VALUE"""),"RADASSA SOPHIA SANTOS DE SANTANA")</f>
        <v>RADASSA SOPHIA SANTOS DE SANTANA</v>
      </c>
      <c r="L206" s="146" t="str">
        <f>IFERROR(__xludf.dummyfunction("""COMPUTED_VALUE"""),"000.024.194-67")</f>
        <v>000.024.194-67</v>
      </c>
      <c r="M206" s="146" t="str">
        <f>IFERROR(__xludf.dummyfunction("""COMPUTED_VALUE"""),"24/09/2023")</f>
        <v>24/09/2023</v>
      </c>
      <c r="N206" s="3"/>
      <c r="O206" s="3" t="str">
        <f>IFERROR(__xludf.dummyfunction("""COMPUTED_VALUE"""),"0")</f>
        <v>0</v>
      </c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hidden="1" customHeight="1" spans="1:29">
      <c r="A207" s="3"/>
      <c r="B207" s="3" t="str">
        <f t="array" ref="B207">_xlfn.XLOOKUP(D207,Tabela_Dados_Esc_JAB_2026[INEP],Tabela_Dados_Esc_JAB_2026[REGIONAL],"NE",0)</f>
        <v>REGIONAL 6</v>
      </c>
      <c r="C207" s="4" t="str">
        <f>IFERROR(__xludf.dummyfunction("""COMPUTED_VALUE"""),"CEMEI PROFESSORA RAKELLY NOGUEIRA DO NASCIMENTO")</f>
        <v>CEMEI PROFESSORA RAKELLY NOGUEIRA DO NASCIMENTO</v>
      </c>
      <c r="D207" s="3" t="str">
        <f>IFERROR(__xludf.dummyfunction("""COMPUTED_VALUE"""),"26192420")</f>
        <v>26192420</v>
      </c>
      <c r="E207" s="3" t="str">
        <f>IFERROR(__xludf.dummyfunction("""COMPUTED_VALUE"""),"INFANTIL 2")</f>
        <v>INFANTIL 2</v>
      </c>
      <c r="F207" s="3" t="str">
        <f>IFERROR(__xludf.dummyfunction("""COMPUTED_VALUE"""),"Integral")</f>
        <v>Integral</v>
      </c>
      <c r="G207" s="3" t="str">
        <f>IFERROR(__xludf.dummyfunction("""COMPUTED_VALUE"""),"Comum")</f>
        <v>Comum</v>
      </c>
      <c r="H207" s="3" t="str">
        <f>IFERROR(__xludf.dummyfunction("""COMPUTED_VALUE"""),"2")</f>
        <v>2</v>
      </c>
      <c r="I207" s="145" t="str">
        <f>IFERROR(__xludf.dummyfunction("""COMPUTED_VALUE"""),"26082535161")</f>
        <v>26082535161</v>
      </c>
      <c r="J207" s="3" t="str">
        <f>IFERROR(__xludf.dummyfunction("""COMPUTED_VALUE"""),"07/08/2026 13:26:09")</f>
        <v>07/08/2026 13:26:09</v>
      </c>
      <c r="K207" s="3" t="str">
        <f>IFERROR(__xludf.dummyfunction("""COMPUTED_VALUE"""),"Dandara Saturno Cavalcanti")</f>
        <v>Dandara Saturno Cavalcanti</v>
      </c>
      <c r="L207" s="146" t="str">
        <f>IFERROR(__xludf.dummyfunction("""COMPUTED_VALUE"""),"005.350.574-31")</f>
        <v>005.350.574-31</v>
      </c>
      <c r="M207" s="146" t="str">
        <f>IFERROR(__xludf.dummyfunction("""COMPUTED_VALUE"""),"08/02/2024")</f>
        <v>08/02/2024</v>
      </c>
      <c r="N207" s="3"/>
      <c r="O207" s="3" t="str">
        <f>IFERROR(__xludf.dummyfunction("""COMPUTED_VALUE"""),"0")</f>
        <v>0</v>
      </c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hidden="1" customHeight="1" spans="1:29">
      <c r="A208" s="3"/>
      <c r="B208" s="3" t="str">
        <f t="array" ref="B208">_xlfn.XLOOKUP(D208,Tabela_Dados_Esc_JAB_2026[INEP],Tabela_Dados_Esc_JAB_2026[REGIONAL],"NE",0)</f>
        <v>REGIONAL 6</v>
      </c>
      <c r="C208" s="4" t="str">
        <f>IFERROR(__xludf.dummyfunction("""COMPUTED_VALUE"""),"CEMEI PROFESSORA RAKELLY NOGUEIRA DO NASCIMENTO")</f>
        <v>CEMEI PROFESSORA RAKELLY NOGUEIRA DO NASCIMENTO</v>
      </c>
      <c r="D208" s="3" t="str">
        <f>IFERROR(__xludf.dummyfunction("""COMPUTED_VALUE"""),"26192420")</f>
        <v>26192420</v>
      </c>
      <c r="E208" s="3" t="str">
        <f>IFERROR(__xludf.dummyfunction("""COMPUTED_VALUE"""),"INFANTIL 2")</f>
        <v>INFANTIL 2</v>
      </c>
      <c r="F208" s="3" t="str">
        <f>IFERROR(__xludf.dummyfunction("""COMPUTED_VALUE"""),"Integral")</f>
        <v>Integral</v>
      </c>
      <c r="G208" s="3" t="str">
        <f>IFERROR(__xludf.dummyfunction("""COMPUTED_VALUE"""),"Comum")</f>
        <v>Comum</v>
      </c>
      <c r="H208" s="3" t="str">
        <f>IFERROR(__xludf.dummyfunction("""COMPUTED_VALUE"""),"3")</f>
        <v>3</v>
      </c>
      <c r="I208" s="145" t="str">
        <f>IFERROR(__xludf.dummyfunction("""COMPUTED_VALUE"""),"26092022382")</f>
        <v>26092022382</v>
      </c>
      <c r="J208" s="3" t="str">
        <f>IFERROR(__xludf.dummyfunction("""COMPUTED_VALUE"""),"10/09/2026 11:00:55")</f>
        <v>10/09/2026 11:00:55</v>
      </c>
      <c r="K208" s="3" t="str">
        <f>IFERROR(__xludf.dummyfunction("""COMPUTED_VALUE"""),"Helena Soares da Silva")</f>
        <v>Helena Soares da Silva</v>
      </c>
      <c r="L208" s="146" t="str">
        <f>IFERROR(__xludf.dummyfunction("""COMPUTED_VALUE"""),"186.113.124-06")</f>
        <v>186.113.124-06</v>
      </c>
      <c r="M208" s="146" t="str">
        <f>IFERROR(__xludf.dummyfunction("""COMPUTED_VALUE"""),"29/07/2023")</f>
        <v>29/07/2023</v>
      </c>
      <c r="N208" s="3"/>
      <c r="O208" s="3" t="str">
        <f>IFERROR(__xludf.dummyfunction("""COMPUTED_VALUE"""),"0")</f>
        <v>0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hidden="1" customHeight="1" spans="1:29">
      <c r="A209" s="3"/>
      <c r="B209" s="3" t="str">
        <f t="array" ref="B209">_xlfn.XLOOKUP(D209,Tabela_Dados_Esc_JAB_2026[INEP],Tabela_Dados_Esc_JAB_2026[REGIONAL],"NE",0)</f>
        <v>REGIONAL 1</v>
      </c>
      <c r="C209" s="4" t="str">
        <f>IFERROR(__xludf.dummyfunction("""COMPUTED_VALUE"""),"CEMEI SANTO AMARO")</f>
        <v>CEMEI SANTO AMARO</v>
      </c>
      <c r="D209" s="3" t="str">
        <f>IFERROR(__xludf.dummyfunction("""COMPUTED_VALUE"""),"26147840")</f>
        <v>26147840</v>
      </c>
      <c r="E209" s="3" t="str">
        <f>IFERROR(__xludf.dummyfunction("""COMPUTED_VALUE"""),"INFANTIL 3")</f>
        <v>INFANTIL 3</v>
      </c>
      <c r="F209" s="3" t="str">
        <f>IFERROR(__xludf.dummyfunction("""COMPUTED_VALUE"""),"Matutino/Manhã")</f>
        <v>Matutino/Manhã</v>
      </c>
      <c r="G209" s="3" t="str">
        <f>IFERROR(__xludf.dummyfunction("""COMPUTED_VALUE"""),"Comum")</f>
        <v>Comum</v>
      </c>
      <c r="H209" s="3" t="str">
        <f>IFERROR(__xludf.dummyfunction("""COMPUTED_VALUE"""),"1")</f>
        <v>1</v>
      </c>
      <c r="I209" s="145" t="str">
        <f>IFERROR(__xludf.dummyfunction("""COMPUTED_VALUE"""),"26022533091")</f>
        <v>26022533091</v>
      </c>
      <c r="J209" s="3" t="str">
        <f>IFERROR(__xludf.dummyfunction("""COMPUTED_VALUE"""),"02/02/2026 15:26:58")</f>
        <v>02/02/2026 15:26:58</v>
      </c>
      <c r="K209" s="3" t="str">
        <f>IFERROR(__xludf.dummyfunction("""COMPUTED_VALUE"""),"DANIEL LIMA DE ARAUJO")</f>
        <v>DANIEL LIMA DE ARAUJO</v>
      </c>
      <c r="L209" s="146" t="str">
        <f>IFERROR(__xludf.dummyfunction("""COMPUTED_VALUE"""),"181.750.114-32")</f>
        <v>181.750.114-32</v>
      </c>
      <c r="M209" s="146" t="str">
        <f>IFERROR(__xludf.dummyfunction("""COMPUTED_VALUE"""),"14/05/2022")</f>
        <v>14/05/2022</v>
      </c>
      <c r="N209" s="3"/>
      <c r="O209" s="3" t="str">
        <f>IFERROR(__xludf.dummyfunction("""COMPUTED_VALUE"""),"0")</f>
        <v>0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hidden="1" customHeight="1" spans="1:29">
      <c r="A210" s="3"/>
      <c r="B210" s="3" t="str">
        <f t="array" ref="B210">_xlfn.XLOOKUP(D210,Tabela_Dados_Esc_JAB_2026[INEP],Tabela_Dados_Esc_JAB_2026[REGIONAL],"NE",0)</f>
        <v>REGIONAL 1</v>
      </c>
      <c r="C210" s="4" t="str">
        <f>IFERROR(__xludf.dummyfunction("""COMPUTED_VALUE"""),"CEMEI SANTO AMARO")</f>
        <v>CEMEI SANTO AMARO</v>
      </c>
      <c r="D210" s="3" t="str">
        <f>IFERROR(__xludf.dummyfunction("""COMPUTED_VALUE"""),"26147840")</f>
        <v>26147840</v>
      </c>
      <c r="E210" s="3" t="str">
        <f>IFERROR(__xludf.dummyfunction("""COMPUTED_VALUE"""),"INFANTIL 3")</f>
        <v>INFANTIL 3</v>
      </c>
      <c r="F210" s="3" t="str">
        <f>IFERROR(__xludf.dummyfunction("""COMPUTED_VALUE"""),"Matutino/Manhã")</f>
        <v>Matutino/Manhã</v>
      </c>
      <c r="G210" s="3" t="str">
        <f>IFERROR(__xludf.dummyfunction("""COMPUTED_VALUE"""),"Comum")</f>
        <v>Comum</v>
      </c>
      <c r="H210" s="3" t="str">
        <f>IFERROR(__xludf.dummyfunction("""COMPUTED_VALUE"""),"2")</f>
        <v>2</v>
      </c>
      <c r="I210" s="145" t="str">
        <f>IFERROR(__xludf.dummyfunction("""COMPUTED_VALUE"""),"26022834716")</f>
        <v>26022834716</v>
      </c>
      <c r="J210" s="3" t="str">
        <f>IFERROR(__xludf.dummyfunction("""COMPUTED_VALUE"""),"10/02/2026 08:09:45")</f>
        <v>10/02/2026 08:09:45</v>
      </c>
      <c r="K210" s="3" t="str">
        <f>IFERROR(__xludf.dummyfunction("""COMPUTED_VALUE"""),"ELIZABETH SAMARA FRANÇA DA SILVA")</f>
        <v>ELIZABETH SAMARA FRANÇA DA SILVA</v>
      </c>
      <c r="L210" s="146" t="str">
        <f>IFERROR(__xludf.dummyfunction("""COMPUTED_VALUE"""),"181.606.774-13")</f>
        <v>181.606.774-13</v>
      </c>
      <c r="M210" s="146" t="str">
        <f>IFERROR(__xludf.dummyfunction("""COMPUTED_VALUE"""),"16/05/2022")</f>
        <v>16/05/2022</v>
      </c>
      <c r="N210" s="3"/>
      <c r="O210" s="3" t="str">
        <f>IFERROR(__xludf.dummyfunction("""COMPUTED_VALUE"""),"0")</f>
        <v>0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hidden="1" customHeight="1" spans="1:29">
      <c r="A211" s="3"/>
      <c r="B211" s="3" t="str">
        <f t="array" ref="B211">_xlfn.XLOOKUP(D211,Tabela_Dados_Esc_JAB_2026[INEP],Tabela_Dados_Esc_JAB_2026[REGIONAL],"NE",0)</f>
        <v>REGIONAL 1</v>
      </c>
      <c r="C211" s="4" t="str">
        <f>IFERROR(__xludf.dummyfunction("""COMPUTED_VALUE"""),"CEMEI SANTO AMARO")</f>
        <v>CEMEI SANTO AMARO</v>
      </c>
      <c r="D211" s="3" t="str">
        <f>IFERROR(__xludf.dummyfunction("""COMPUTED_VALUE"""),"26147840")</f>
        <v>26147840</v>
      </c>
      <c r="E211" s="3" t="str">
        <f>IFERROR(__xludf.dummyfunction("""COMPUTED_VALUE"""),"INFANTIL 3")</f>
        <v>INFANTIL 3</v>
      </c>
      <c r="F211" s="3" t="str">
        <f>IFERROR(__xludf.dummyfunction("""COMPUTED_VALUE"""),"Matutino/Manhã")</f>
        <v>Matutino/Manhã</v>
      </c>
      <c r="G211" s="3" t="str">
        <f>IFERROR(__xludf.dummyfunction("""COMPUTED_VALUE"""),"Comum")</f>
        <v>Comum</v>
      </c>
      <c r="H211" s="3" t="str">
        <f>IFERROR(__xludf.dummyfunction("""COMPUTED_VALUE"""),"3")</f>
        <v>3</v>
      </c>
      <c r="I211" s="145" t="str">
        <f>IFERROR(__xludf.dummyfunction("""COMPUTED_VALUE"""),"26022024449")</f>
        <v>26022024449</v>
      </c>
      <c r="J211" s="3" t="str">
        <f>IFERROR(__xludf.dummyfunction("""COMPUTED_VALUE"""),"24/02/2026 18:34:28")</f>
        <v>24/02/2026 18:34:28</v>
      </c>
      <c r="K211" s="3" t="str">
        <f>IFERROR(__xludf.dummyfunction("""COMPUTED_VALUE"""),"TAIANE FIGUEIRA LIMA DE SOUZA")</f>
        <v>TAIANE FIGUEIRA LIMA DE SOUZA</v>
      </c>
      <c r="L211" s="146" t="str">
        <f>IFERROR(__xludf.dummyfunction("""COMPUTED_VALUE"""),"181.335.914-81")</f>
        <v>181.335.914-81</v>
      </c>
      <c r="M211" s="146" t="str">
        <f>IFERROR(__xludf.dummyfunction("""COMPUTED_VALUE"""),"12/04/2022")</f>
        <v>12/04/2022</v>
      </c>
      <c r="N211" s="3"/>
      <c r="O211" s="3" t="str">
        <f>IFERROR(__xludf.dummyfunction("""COMPUTED_VALUE"""),"0")</f>
        <v>0</v>
      </c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hidden="1" customHeight="1" spans="1:29">
      <c r="A212" s="3"/>
      <c r="B212" s="3" t="str">
        <f t="array" ref="B212">_xlfn.XLOOKUP(D212,Tabela_Dados_Esc_JAB_2026[INEP],Tabela_Dados_Esc_JAB_2026[REGIONAL],"NE",0)</f>
        <v>REGIONAL 1</v>
      </c>
      <c r="C212" s="4" t="str">
        <f>IFERROR(__xludf.dummyfunction("""COMPUTED_VALUE"""),"CEMEI SANTO AMARO")</f>
        <v>CEMEI SANTO AMARO</v>
      </c>
      <c r="D212" s="3" t="str">
        <f>IFERROR(__xludf.dummyfunction("""COMPUTED_VALUE"""),"26147840")</f>
        <v>26147840</v>
      </c>
      <c r="E212" s="3" t="str">
        <f>IFERROR(__xludf.dummyfunction("""COMPUTED_VALUE"""),"INFANTIL 3")</f>
        <v>INFANTIL 3</v>
      </c>
      <c r="F212" s="3" t="str">
        <f>IFERROR(__xludf.dummyfunction("""COMPUTED_VALUE"""),"Matutino/Manhã")</f>
        <v>Matutino/Manhã</v>
      </c>
      <c r="G212" s="3" t="str">
        <f>IFERROR(__xludf.dummyfunction("""COMPUTED_VALUE"""),"Comum")</f>
        <v>Comum</v>
      </c>
      <c r="H212" s="3" t="str">
        <f>IFERROR(__xludf.dummyfunction("""COMPUTED_VALUE"""),"4")</f>
        <v>4</v>
      </c>
      <c r="I212" s="145" t="str">
        <f>IFERROR(__xludf.dummyfunction("""COMPUTED_VALUE"""),"26082477758")</f>
        <v>26082477758</v>
      </c>
      <c r="J212" s="3" t="str">
        <f>IFERROR(__xludf.dummyfunction("""COMPUTED_VALUE"""),"05/08/2026 11:19:31")</f>
        <v>05/08/2026 11:19:31</v>
      </c>
      <c r="K212" s="3" t="str">
        <f>IFERROR(__xludf.dummyfunction("""COMPUTED_VALUE"""),"ISAAC GABRIEL DA SILVA")</f>
        <v>ISAAC GABRIEL DA SILVA</v>
      </c>
      <c r="L212" s="146" t="str">
        <f>IFERROR(__xludf.dummyfunction("""COMPUTED_VALUE"""),"182.603.884-13")</f>
        <v>182.603.884-13</v>
      </c>
      <c r="M212" s="146" t="str">
        <f>IFERROR(__xludf.dummyfunction("""COMPUTED_VALUE"""),"23/04/2022")</f>
        <v>23/04/2022</v>
      </c>
      <c r="N212" s="3"/>
      <c r="O212" s="3" t="str">
        <f>IFERROR(__xludf.dummyfunction("""COMPUTED_VALUE"""),"0")</f>
        <v>0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hidden="1" customHeight="1" spans="1:29">
      <c r="A213" s="3"/>
      <c r="B213" s="3" t="str">
        <f t="array" ref="B213">_xlfn.XLOOKUP(D213,Tabela_Dados_Esc_JAB_2026[INEP],Tabela_Dados_Esc_JAB_2026[REGIONAL],"NE",0)</f>
        <v>REGIONAL 1</v>
      </c>
      <c r="C213" s="4" t="str">
        <f>IFERROR(__xludf.dummyfunction("""COMPUTED_VALUE"""),"CEMEI SANTO AMARO")</f>
        <v>CEMEI SANTO AMARO</v>
      </c>
      <c r="D213" s="3" t="str">
        <f>IFERROR(__xludf.dummyfunction("""COMPUTED_VALUE"""),"26147840")</f>
        <v>26147840</v>
      </c>
      <c r="E213" s="3" t="str">
        <f>IFERROR(__xludf.dummyfunction("""COMPUTED_VALUE"""),"INFANTIL 3")</f>
        <v>INFANTIL 3</v>
      </c>
      <c r="F213" s="3" t="str">
        <f>IFERROR(__xludf.dummyfunction("""COMPUTED_VALUE"""),"Matutino/Manhã")</f>
        <v>Matutino/Manhã</v>
      </c>
      <c r="G213" s="3" t="str">
        <f>IFERROR(__xludf.dummyfunction("""COMPUTED_VALUE"""),"Comum")</f>
        <v>Comum</v>
      </c>
      <c r="H213" s="3" t="str">
        <f>IFERROR(__xludf.dummyfunction("""COMPUTED_VALUE"""),"5")</f>
        <v>5</v>
      </c>
      <c r="I213" s="145" t="str">
        <f>IFERROR(__xludf.dummyfunction("""COMPUTED_VALUE"""),"26092251503")</f>
        <v>26092251503</v>
      </c>
      <c r="J213" s="3" t="str">
        <f>IFERROR(__xludf.dummyfunction("""COMPUTED_VALUE"""),"21/09/2026 11:12:08")</f>
        <v>21/09/2026 11:12:08</v>
      </c>
      <c r="K213" s="3" t="str">
        <f>IFERROR(__xludf.dummyfunction("""COMPUTED_VALUE"""),"Heitor Bernardo Barros da Silva Santos")</f>
        <v>Heitor Bernardo Barros da Silva Santos</v>
      </c>
      <c r="L213" s="146" t="str">
        <f>IFERROR(__xludf.dummyfunction("""COMPUTED_VALUE"""),"183.274.014-59")</f>
        <v>183.274.014-59</v>
      </c>
      <c r="M213" s="146" t="str">
        <f>IFERROR(__xludf.dummyfunction("""COMPUTED_VALUE"""),"18/10/2022")</f>
        <v>18/10/2022</v>
      </c>
      <c r="N213" s="3"/>
      <c r="O213" s="3" t="str">
        <f>IFERROR(__xludf.dummyfunction("""COMPUTED_VALUE"""),"0")</f>
        <v>0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hidden="1" customHeight="1" spans="1:29">
      <c r="A214" s="3"/>
      <c r="B214" s="3" t="str">
        <f t="array" ref="B214">_xlfn.XLOOKUP(D214,Tabela_Dados_Esc_JAB_2026[INEP],Tabela_Dados_Esc_JAB_2026[REGIONAL],"NE",0)</f>
        <v>REGIONAL 1</v>
      </c>
      <c r="C214" s="4" t="str">
        <f>IFERROR(__xludf.dummyfunction("""COMPUTED_VALUE"""),"CEMEI SANTO AMARO")</f>
        <v>CEMEI SANTO AMARO</v>
      </c>
      <c r="D214" s="3" t="str">
        <f>IFERROR(__xludf.dummyfunction("""COMPUTED_VALUE"""),"26147840")</f>
        <v>26147840</v>
      </c>
      <c r="E214" s="3" t="str">
        <f>IFERROR(__xludf.dummyfunction("""COMPUTED_VALUE"""),"INFANTIL 3")</f>
        <v>INFANTIL 3</v>
      </c>
      <c r="F214" s="3" t="str">
        <f>IFERROR(__xludf.dummyfunction("""COMPUTED_VALUE"""),"Vespertino/Tarde")</f>
        <v>Vespertino/Tarde</v>
      </c>
      <c r="G214" s="3" t="str">
        <f>IFERROR(__xludf.dummyfunction("""COMPUTED_VALUE"""),"Comum")</f>
        <v>Comum</v>
      </c>
      <c r="H214" s="3" t="str">
        <f>IFERROR(__xludf.dummyfunction("""COMPUTED_VALUE"""),"1")</f>
        <v>1</v>
      </c>
      <c r="I214" s="145" t="str">
        <f>IFERROR(__xludf.dummyfunction("""COMPUTED_VALUE"""),"26052659495")</f>
        <v>26052659495</v>
      </c>
      <c r="J214" s="3" t="str">
        <f>IFERROR(__xludf.dummyfunction("""COMPUTED_VALUE"""),"13/05/2026 19:48:23")</f>
        <v>13/05/2026 19:48:23</v>
      </c>
      <c r="K214" s="3" t="str">
        <f>IFERROR(__xludf.dummyfunction("""COMPUTED_VALUE"""),"HELLEN VITÓRIA SILVA RODRIGUES")</f>
        <v>HELLEN VITÓRIA SILVA RODRIGUES</v>
      </c>
      <c r="L214" s="146" t="str">
        <f>IFERROR(__xludf.dummyfunction("""COMPUTED_VALUE"""),"181.887.774-04")</f>
        <v>181.887.774-04</v>
      </c>
      <c r="M214" s="146" t="str">
        <f>IFERROR(__xludf.dummyfunction("""COMPUTED_VALUE"""),"09/06/2022")</f>
        <v>09/06/2022</v>
      </c>
      <c r="N214" s="3"/>
      <c r="O214" s="3" t="str">
        <f>IFERROR(__xludf.dummyfunction("""COMPUTED_VALUE"""),"0")</f>
        <v>0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hidden="1" customHeight="1" spans="1:29">
      <c r="A215" s="3"/>
      <c r="B215" s="3" t="str">
        <f t="array" ref="B215">_xlfn.XLOOKUP(D215,Tabela_Dados_Esc_JAB_2026[INEP],Tabela_Dados_Esc_JAB_2026[REGIONAL],"NE",0)</f>
        <v>REGIONAL 1</v>
      </c>
      <c r="C215" s="4" t="str">
        <f>IFERROR(__xludf.dummyfunction("""COMPUTED_VALUE"""),"CEMEI SANTO AMARO")</f>
        <v>CEMEI SANTO AMARO</v>
      </c>
      <c r="D215" s="3" t="str">
        <f>IFERROR(__xludf.dummyfunction("""COMPUTED_VALUE"""),"26147840")</f>
        <v>26147840</v>
      </c>
      <c r="E215" s="3" t="str">
        <f>IFERROR(__xludf.dummyfunction("""COMPUTED_VALUE"""),"INFANTIL 3")</f>
        <v>INFANTIL 3</v>
      </c>
      <c r="F215" s="3" t="str">
        <f>IFERROR(__xludf.dummyfunction("""COMPUTED_VALUE"""),"Vespertino/Tarde")</f>
        <v>Vespertino/Tarde</v>
      </c>
      <c r="G215" s="3" t="str">
        <f>IFERROR(__xludf.dummyfunction("""COMPUTED_VALUE"""),"Comum")</f>
        <v>Comum</v>
      </c>
      <c r="H215" s="3" t="str">
        <f>IFERROR(__xludf.dummyfunction("""COMPUTED_VALUE"""),"2")</f>
        <v>2</v>
      </c>
      <c r="I215" s="145" t="str">
        <f>IFERROR(__xludf.dummyfunction("""COMPUTED_VALUE"""),"26052824128")</f>
        <v>26052824128</v>
      </c>
      <c r="J215" s="3" t="str">
        <f>IFERROR(__xludf.dummyfunction("""COMPUTED_VALUE"""),"20/05/2026 10:33:36")</f>
        <v>20/05/2026 10:33:36</v>
      </c>
      <c r="K215" s="3" t="str">
        <f>IFERROR(__xludf.dummyfunction("""COMPUTED_VALUE"""),"BRUNA CECÍLIA DOS IMPOSSÍVEIS GOMES")</f>
        <v>BRUNA CECÍLIA DOS IMPOSSÍVEIS GOMES</v>
      </c>
      <c r="L215" s="146" t="str">
        <f>IFERROR(__xludf.dummyfunction("""COMPUTED_VALUE"""),"183.419.034-74")</f>
        <v>183.419.034-74</v>
      </c>
      <c r="M215" s="146" t="str">
        <f>IFERROR(__xludf.dummyfunction("""COMPUTED_VALUE"""),"02/11/2022")</f>
        <v>02/11/2022</v>
      </c>
      <c r="N215" s="3"/>
      <c r="O215" s="3" t="str">
        <f>IFERROR(__xludf.dummyfunction("""COMPUTED_VALUE"""),"0")</f>
        <v>0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hidden="1" customHeight="1" spans="1:29">
      <c r="A216" s="3"/>
      <c r="B216" s="3" t="str">
        <f t="array" ref="B216">_xlfn.XLOOKUP(D216,Tabela_Dados_Esc_JAB_2026[INEP],Tabela_Dados_Esc_JAB_2026[REGIONAL],"NE",0)</f>
        <v>REGIONAL 1</v>
      </c>
      <c r="C216" s="4" t="str">
        <f>IFERROR(__xludf.dummyfunction("""COMPUTED_VALUE"""),"CEMEI SANTO AMARO")</f>
        <v>CEMEI SANTO AMARO</v>
      </c>
      <c r="D216" s="3" t="str">
        <f>IFERROR(__xludf.dummyfunction("""COMPUTED_VALUE"""),"26147840")</f>
        <v>26147840</v>
      </c>
      <c r="E216" s="3" t="str">
        <f>IFERROR(__xludf.dummyfunction("""COMPUTED_VALUE"""),"INFANTIL 3")</f>
        <v>INFANTIL 3</v>
      </c>
      <c r="F216" s="3" t="str">
        <f>IFERROR(__xludf.dummyfunction("""COMPUTED_VALUE"""),"Vespertino/Tarde")</f>
        <v>Vespertino/Tarde</v>
      </c>
      <c r="G216" s="3" t="str">
        <f>IFERROR(__xludf.dummyfunction("""COMPUTED_VALUE"""),"Comum")</f>
        <v>Comum</v>
      </c>
      <c r="H216" s="3" t="str">
        <f>IFERROR(__xludf.dummyfunction("""COMPUTED_VALUE"""),"3")</f>
        <v>3</v>
      </c>
      <c r="I216" s="145" t="str">
        <f>IFERROR(__xludf.dummyfunction("""COMPUTED_VALUE"""),"26052071068")</f>
        <v>26052071068</v>
      </c>
      <c r="J216" s="3" t="str">
        <f>IFERROR(__xludf.dummyfunction("""COMPUTED_VALUE"""),"25/05/2026 08:40:05")</f>
        <v>25/05/2026 08:40:05</v>
      </c>
      <c r="K216" s="3" t="str">
        <f>IFERROR(__xludf.dummyfunction("""COMPUTED_VALUE"""),"Eloá Maria de Moraes prazeres")</f>
        <v>Eloá Maria de Moraes prazeres</v>
      </c>
      <c r="L216" s="146" t="str">
        <f>IFERROR(__xludf.dummyfunction("""COMPUTED_VALUE"""),"184.570.414-28")</f>
        <v>184.570.414-28</v>
      </c>
      <c r="M216" s="146" t="str">
        <f>IFERROR(__xludf.dummyfunction("""COMPUTED_VALUE"""),"25/02/2023")</f>
        <v>25/02/2023</v>
      </c>
      <c r="N216" s="3"/>
      <c r="O216" s="3" t="str">
        <f>IFERROR(__xludf.dummyfunction("""COMPUTED_VALUE"""),"0")</f>
        <v>0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hidden="1" customHeight="1" spans="1:29">
      <c r="A217" s="3"/>
      <c r="B217" s="3" t="str">
        <f t="array" ref="B217">_xlfn.XLOOKUP(D217,Tabela_Dados_Esc_JAB_2026[INEP],Tabela_Dados_Esc_JAB_2026[REGIONAL],"NE",0)</f>
        <v>REGIONAL 1</v>
      </c>
      <c r="C217" s="4" t="str">
        <f>IFERROR(__xludf.dummyfunction("""COMPUTED_VALUE"""),"CEMEI SANTO AMARO")</f>
        <v>CEMEI SANTO AMARO</v>
      </c>
      <c r="D217" s="3" t="str">
        <f>IFERROR(__xludf.dummyfunction("""COMPUTED_VALUE"""),"26147840")</f>
        <v>26147840</v>
      </c>
      <c r="E217" s="3" t="str">
        <f>IFERROR(__xludf.dummyfunction("""COMPUTED_VALUE"""),"INFANTIL 3")</f>
        <v>INFANTIL 3</v>
      </c>
      <c r="F217" s="3" t="str">
        <f>IFERROR(__xludf.dummyfunction("""COMPUTED_VALUE"""),"Vespertino/Tarde")</f>
        <v>Vespertino/Tarde</v>
      </c>
      <c r="G217" s="3" t="str">
        <f>IFERROR(__xludf.dummyfunction("""COMPUTED_VALUE"""),"Comum")</f>
        <v>Comum</v>
      </c>
      <c r="H217" s="3" t="str">
        <f>IFERROR(__xludf.dummyfunction("""COMPUTED_VALUE"""),"4")</f>
        <v>4</v>
      </c>
      <c r="I217" s="145" t="str">
        <f>IFERROR(__xludf.dummyfunction("""COMPUTED_VALUE"""),"26062982749")</f>
        <v>26062982749</v>
      </c>
      <c r="J217" s="3" t="str">
        <f>IFERROR(__xludf.dummyfunction("""COMPUTED_VALUE"""),"10/06/2026 07:16:18")</f>
        <v>10/06/2026 07:16:18</v>
      </c>
      <c r="K217" s="3" t="str">
        <f>IFERROR(__xludf.dummyfunction("""COMPUTED_VALUE"""),"APOLO FERRAZ BARBOSA RODRIGUES")</f>
        <v>APOLO FERRAZ BARBOSA RODRIGUES</v>
      </c>
      <c r="L217" s="146" t="str">
        <f>IFERROR(__xludf.dummyfunction("""COMPUTED_VALUE"""),"184.564.184-12")</f>
        <v>184.564.184-12</v>
      </c>
      <c r="M217" s="146" t="str">
        <f>IFERROR(__xludf.dummyfunction("""COMPUTED_VALUE"""),"17/02/2023")</f>
        <v>17/02/2023</v>
      </c>
      <c r="N217" s="3"/>
      <c r="O217" s="3" t="str">
        <f>IFERROR(__xludf.dummyfunction("""COMPUTED_VALUE"""),"0")</f>
        <v>0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hidden="1" customHeight="1" spans="1:29">
      <c r="A218" s="3"/>
      <c r="B218" s="3" t="str">
        <f t="array" ref="B218">_xlfn.XLOOKUP(D218,Tabela_Dados_Esc_JAB_2026[INEP],Tabela_Dados_Esc_JAB_2026[REGIONAL],"NE",0)</f>
        <v>REGIONAL 1</v>
      </c>
      <c r="C218" s="4" t="str">
        <f>IFERROR(__xludf.dummyfunction("""COMPUTED_VALUE"""),"CEMEI SANTO AMARO")</f>
        <v>CEMEI SANTO AMARO</v>
      </c>
      <c r="D218" s="3" t="str">
        <f>IFERROR(__xludf.dummyfunction("""COMPUTED_VALUE"""),"26147840")</f>
        <v>26147840</v>
      </c>
      <c r="E218" s="3" t="str">
        <f>IFERROR(__xludf.dummyfunction("""COMPUTED_VALUE"""),"INFANTIL 4")</f>
        <v>INFANTIL 4</v>
      </c>
      <c r="F218" s="3" t="str">
        <f>IFERROR(__xludf.dummyfunction("""COMPUTED_VALUE"""),"Vespertino/Tarde")</f>
        <v>Vespertino/Tarde</v>
      </c>
      <c r="G218" s="3" t="str">
        <f>IFERROR(__xludf.dummyfunction("""COMPUTED_VALUE"""),"Comum")</f>
        <v>Comum</v>
      </c>
      <c r="H218" s="3" t="str">
        <f>IFERROR(__xludf.dummyfunction("""COMPUTED_VALUE"""),"1")</f>
        <v>1</v>
      </c>
      <c r="I218" s="145" t="str">
        <f>IFERROR(__xludf.dummyfunction("""COMPUTED_VALUE"""),"26092786295")</f>
        <v>26092786295</v>
      </c>
      <c r="J218" s="3" t="str">
        <f>IFERROR(__xludf.dummyfunction("""COMPUTED_VALUE"""),"22/09/2026 15:12:13")</f>
        <v>22/09/2026 15:12:13</v>
      </c>
      <c r="K218" s="3" t="str">
        <f>IFERROR(__xludf.dummyfunction("""COMPUTED_VALUE"""),"Benjamim Everton Viana Nunes")</f>
        <v>Benjamim Everton Viana Nunes</v>
      </c>
      <c r="L218" s="146" t="str">
        <f>IFERROR(__xludf.dummyfunction("""COMPUTED_VALUE"""),"178.705.634-12")</f>
        <v>178.705.634-12</v>
      </c>
      <c r="M218" s="146" t="str">
        <f>IFERROR(__xludf.dummyfunction("""COMPUTED_VALUE"""),"07/05/2021")</f>
        <v>07/05/2021</v>
      </c>
      <c r="N218" s="3"/>
      <c r="O218" s="3" t="str">
        <f>IFERROR(__xludf.dummyfunction("""COMPUTED_VALUE"""),"0")</f>
        <v>0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hidden="1" customHeight="1" spans="1:29">
      <c r="A219" s="3"/>
      <c r="B219" s="3" t="str">
        <f t="array" ref="B219">_xlfn.XLOOKUP(D219,Tabela_Dados_Esc_JAB_2026[INEP],Tabela_Dados_Esc_JAB_2026[REGIONAL],"NE",0)</f>
        <v>REGIONAL 5</v>
      </c>
      <c r="C219" s="4" t="str">
        <f>IFERROR(__xludf.dummyfunction("""COMPUTED_VALUE"""),"CEMEI SILVIA MARIA DE OLIVEIRA")</f>
        <v>CEMEI SILVIA MARIA DE OLIVEIRA</v>
      </c>
      <c r="D219" s="3" t="str">
        <f>IFERROR(__xludf.dummyfunction("""COMPUTED_VALUE"""),"26186080")</f>
        <v>26186080</v>
      </c>
      <c r="E219" s="3" t="str">
        <f>IFERROR(__xludf.dummyfunction("""COMPUTED_VALUE"""),"INFANTIL 1")</f>
        <v>INFANTIL 1</v>
      </c>
      <c r="F219" s="3" t="str">
        <f>IFERROR(__xludf.dummyfunction("""COMPUTED_VALUE"""),"Integral")</f>
        <v>Integral</v>
      </c>
      <c r="G219" s="3" t="str">
        <f>IFERROR(__xludf.dummyfunction("""COMPUTED_VALUE"""),"Comum")</f>
        <v>Comum</v>
      </c>
      <c r="H219" s="3" t="str">
        <f>IFERROR(__xludf.dummyfunction("""COMPUTED_VALUE"""),"1")</f>
        <v>1</v>
      </c>
      <c r="I219" s="145" t="str">
        <f>IFERROR(__xludf.dummyfunction("""COMPUTED_VALUE"""),"26012525884")</f>
        <v>26012525884</v>
      </c>
      <c r="J219" s="3" t="str">
        <f>IFERROR(__xludf.dummyfunction("""COMPUTED_VALUE"""),"28/01/2026 21:43:18")</f>
        <v>28/01/2026 21:43:18</v>
      </c>
      <c r="K219" s="3" t="str">
        <f>IFERROR(__xludf.dummyfunction("""COMPUTED_VALUE"""),"ALLEFF DAVI DE OLIVEIRA ALVES")</f>
        <v>ALLEFF DAVI DE OLIVEIRA ALVES</v>
      </c>
      <c r="L219" s="146" t="str">
        <f>IFERROR(__xludf.dummyfunction("""COMPUTED_VALUE"""),"005.136.884-63")</f>
        <v>005.136.884-63</v>
      </c>
      <c r="M219" s="146" t="str">
        <f>IFERROR(__xludf.dummyfunction("""COMPUTED_VALUE"""),"10/10/2024")</f>
        <v>10/10/2024</v>
      </c>
      <c r="N219" s="3"/>
      <c r="O219" s="3" t="str">
        <f>IFERROR(__xludf.dummyfunction("""COMPUTED_VALUE"""),"0")</f>
        <v>0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hidden="1" customHeight="1" spans="1:29">
      <c r="A220" s="3"/>
      <c r="B220" s="3" t="str">
        <f t="array" ref="B220">_xlfn.XLOOKUP(D220,Tabela_Dados_Esc_JAB_2026[INEP],Tabela_Dados_Esc_JAB_2026[REGIONAL],"NE",0)</f>
        <v>REGIONAL 5</v>
      </c>
      <c r="C220" s="4" t="str">
        <f>IFERROR(__xludf.dummyfunction("""COMPUTED_VALUE"""),"CEMEI SILVIA MARIA DE OLIVEIRA")</f>
        <v>CEMEI SILVIA MARIA DE OLIVEIRA</v>
      </c>
      <c r="D220" s="3" t="str">
        <f>IFERROR(__xludf.dummyfunction("""COMPUTED_VALUE"""),"26186080")</f>
        <v>26186080</v>
      </c>
      <c r="E220" s="3" t="str">
        <f>IFERROR(__xludf.dummyfunction("""COMPUTED_VALUE"""),"INFANTIL 1")</f>
        <v>INFANTIL 1</v>
      </c>
      <c r="F220" s="3" t="str">
        <f>IFERROR(__xludf.dummyfunction("""COMPUTED_VALUE"""),"Integral")</f>
        <v>Integral</v>
      </c>
      <c r="G220" s="3" t="str">
        <f>IFERROR(__xludf.dummyfunction("""COMPUTED_VALUE"""),"Comum")</f>
        <v>Comum</v>
      </c>
      <c r="H220" s="3" t="str">
        <f>IFERROR(__xludf.dummyfunction("""COMPUTED_VALUE"""),"2")</f>
        <v>2</v>
      </c>
      <c r="I220" s="145" t="str">
        <f>IFERROR(__xludf.dummyfunction("""COMPUTED_VALUE"""),"26072566591")</f>
        <v>26072566591</v>
      </c>
      <c r="J220" s="3" t="str">
        <f>IFERROR(__xludf.dummyfunction("""COMPUTED_VALUE"""),"17/07/2026 13:01:30")</f>
        <v>17/07/2026 13:01:30</v>
      </c>
      <c r="K220" s="3" t="str">
        <f>IFERROR(__xludf.dummyfunction("""COMPUTED_VALUE"""),"Levi Felipe Soares de lima")</f>
        <v>Levi Felipe Soares de lima</v>
      </c>
      <c r="L220" s="146" t="str">
        <f>IFERROR(__xludf.dummyfunction("""COMPUTED_VALUE"""),"021.062.804-91")</f>
        <v>021.062.804-91</v>
      </c>
      <c r="M220" s="146" t="str">
        <f>IFERROR(__xludf.dummyfunction("""COMPUTED_VALUE"""),"09/11/2025")</f>
        <v>09/11/2025</v>
      </c>
      <c r="N220" s="3"/>
      <c r="O220" s="3" t="str">
        <f>IFERROR(__xludf.dummyfunction("""COMPUTED_VALUE"""),"0")</f>
        <v>0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hidden="1" customHeight="1" spans="1:29">
      <c r="A221" s="3"/>
      <c r="B221" s="3" t="str">
        <f t="array" ref="B221">_xlfn.XLOOKUP(D221,Tabela_Dados_Esc_JAB_2026[INEP],Tabela_Dados_Esc_JAB_2026[REGIONAL],"NE",0)</f>
        <v>REGIONAL 5</v>
      </c>
      <c r="C221" s="4" t="str">
        <f>IFERROR(__xludf.dummyfunction("""COMPUTED_VALUE"""),"CEMEI SILVIA MARIA DE OLIVEIRA")</f>
        <v>CEMEI SILVIA MARIA DE OLIVEIRA</v>
      </c>
      <c r="D221" s="3" t="str">
        <f>IFERROR(__xludf.dummyfunction("""COMPUTED_VALUE"""),"26186080")</f>
        <v>26186080</v>
      </c>
      <c r="E221" s="3" t="str">
        <f>IFERROR(__xludf.dummyfunction("""COMPUTED_VALUE"""),"INFANTIL 1")</f>
        <v>INFANTIL 1</v>
      </c>
      <c r="F221" s="3" t="str">
        <f>IFERROR(__xludf.dummyfunction("""COMPUTED_VALUE"""),"Integral")</f>
        <v>Integral</v>
      </c>
      <c r="G221" s="3" t="str">
        <f>IFERROR(__xludf.dummyfunction("""COMPUTED_VALUE"""),"Comum")</f>
        <v>Comum</v>
      </c>
      <c r="H221" s="3" t="str">
        <f>IFERROR(__xludf.dummyfunction("""COMPUTED_VALUE"""),"3")</f>
        <v>3</v>
      </c>
      <c r="I221" s="145" t="str">
        <f>IFERROR(__xludf.dummyfunction("""COMPUTED_VALUE"""),"26072749651")</f>
        <v>26072749651</v>
      </c>
      <c r="J221" s="3" t="str">
        <f>IFERROR(__xludf.dummyfunction("""COMPUTED_VALUE"""),"17/07/2026 13:07:15")</f>
        <v>17/07/2026 13:07:15</v>
      </c>
      <c r="K221" s="3" t="str">
        <f>IFERROR(__xludf.dummyfunction("""COMPUTED_VALUE"""),"Linnyk Noah soares de lima")</f>
        <v>Linnyk Noah soares de lima</v>
      </c>
      <c r="L221" s="146" t="str">
        <f>IFERROR(__xludf.dummyfunction("""COMPUTED_VALUE"""),"005.407.094-50")</f>
        <v>005.407.094-50</v>
      </c>
      <c r="M221" s="146" t="str">
        <f>IFERROR(__xludf.dummyfunction("""COMPUTED_VALUE"""),"20/10/2024")</f>
        <v>20/10/2024</v>
      </c>
      <c r="N221" s="3"/>
      <c r="O221" s="3" t="str">
        <f>IFERROR(__xludf.dummyfunction("""COMPUTED_VALUE"""),"0")</f>
        <v>0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hidden="1" customHeight="1" spans="1:29">
      <c r="A222" s="3"/>
      <c r="B222" s="3" t="str">
        <f t="array" ref="B222">_xlfn.XLOOKUP(D222,Tabela_Dados_Esc_JAB_2026[INEP],Tabela_Dados_Esc_JAB_2026[REGIONAL],"NE",0)</f>
        <v>REGIONAL 5</v>
      </c>
      <c r="C222" s="4" t="str">
        <f>IFERROR(__xludf.dummyfunction("""COMPUTED_VALUE"""),"CEMEI SILVIA MARIA DE OLIVEIRA")</f>
        <v>CEMEI SILVIA MARIA DE OLIVEIRA</v>
      </c>
      <c r="D222" s="3" t="str">
        <f>IFERROR(__xludf.dummyfunction("""COMPUTED_VALUE"""),"26186080")</f>
        <v>26186080</v>
      </c>
      <c r="E222" s="3" t="str">
        <f>IFERROR(__xludf.dummyfunction("""COMPUTED_VALUE"""),"INFANTIL 2")</f>
        <v>INFANTIL 2</v>
      </c>
      <c r="F222" s="3" t="str">
        <f>IFERROR(__xludf.dummyfunction("""COMPUTED_VALUE"""),"Integral")</f>
        <v>Integral</v>
      </c>
      <c r="G222" s="3" t="str">
        <f>IFERROR(__xludf.dummyfunction("""COMPUTED_VALUE"""),"Comum")</f>
        <v>Comum</v>
      </c>
      <c r="H222" s="3" t="str">
        <f>IFERROR(__xludf.dummyfunction("""COMPUTED_VALUE"""),"1")</f>
        <v>1</v>
      </c>
      <c r="I222" s="145" t="str">
        <f>IFERROR(__xludf.dummyfunction("""COMPUTED_VALUE"""),"26072979409")</f>
        <v>26072979409</v>
      </c>
      <c r="J222" s="3" t="str">
        <f>IFERROR(__xludf.dummyfunction("""COMPUTED_VALUE"""),"09/07/2026 10:26:31")</f>
        <v>09/07/2026 10:26:31</v>
      </c>
      <c r="K222" s="3" t="str">
        <f>IFERROR(__xludf.dummyfunction("""COMPUTED_VALUE"""),"HEITOR MIGUEL SILVA DO NASCIMENTO")</f>
        <v>HEITOR MIGUEL SILVA DO NASCIMENTO</v>
      </c>
      <c r="L222" s="146" t="str">
        <f>IFERROR(__xludf.dummyfunction("""COMPUTED_VALUE"""),"003.760.554-21")</f>
        <v>003.760.554-21</v>
      </c>
      <c r="M222" s="146" t="str">
        <f>IFERROR(__xludf.dummyfunction("""COMPUTED_VALUE"""),"19/08/2023")</f>
        <v>19/08/2023</v>
      </c>
      <c r="N222" s="3"/>
      <c r="O222" s="3" t="str">
        <f>IFERROR(__xludf.dummyfunction("""COMPUTED_VALUE"""),"0")</f>
        <v>0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hidden="1" customHeight="1" spans="1:29">
      <c r="A223" s="3"/>
      <c r="B223" s="3" t="str">
        <f t="array" ref="B223">_xlfn.XLOOKUP(D223,Tabela_Dados_Esc_JAB_2026[INEP],Tabela_Dados_Esc_JAB_2026[REGIONAL],"NE",0)</f>
        <v>REGIONAL 4</v>
      </c>
      <c r="C223" s="4" t="str">
        <f>IFERROR(__xludf.dummyfunction("""COMPUTED_VALUE"""),"CENTRO MUNICIPAL DE EDUCAÇÃO INFANTIL MARCOS FREIRE")</f>
        <v>CENTRO MUNICIPAL DE EDUCAÇÃO INFANTIL MARCOS FREIRE</v>
      </c>
      <c r="D223" s="3" t="str">
        <f>IFERROR(__xludf.dummyfunction("""COMPUTED_VALUE"""),"26156288")</f>
        <v>26156288</v>
      </c>
      <c r="E223" s="3" t="str">
        <f>IFERROR(__xludf.dummyfunction("""COMPUTED_VALUE"""),"INFANTIL 1")</f>
        <v>INFANTIL 1</v>
      </c>
      <c r="F223" s="3" t="str">
        <f>IFERROR(__xludf.dummyfunction("""COMPUTED_VALUE"""),"Integral")</f>
        <v>Integral</v>
      </c>
      <c r="G223" s="3" t="str">
        <f>IFERROR(__xludf.dummyfunction("""COMPUTED_VALUE"""),"Comum")</f>
        <v>Comum</v>
      </c>
      <c r="H223" s="3" t="str">
        <f>IFERROR(__xludf.dummyfunction("""COMPUTED_VALUE"""),"1")</f>
        <v>1</v>
      </c>
      <c r="I223" s="145" t="str">
        <f>IFERROR(__xludf.dummyfunction("""COMPUTED_VALUE"""),"26032416637")</f>
        <v>26032416637</v>
      </c>
      <c r="J223" s="3" t="str">
        <f>IFERROR(__xludf.dummyfunction("""COMPUTED_VALUE"""),"02/03/2026 13:05:13")</f>
        <v>02/03/2026 13:05:13</v>
      </c>
      <c r="K223" s="3" t="str">
        <f>IFERROR(__xludf.dummyfunction("""COMPUTED_VALUE"""),"ARIELLY VICTORIA DA SILVA LEANDRO")</f>
        <v>ARIELLY VICTORIA DA SILVA LEANDRO</v>
      </c>
      <c r="L223" s="146" t="str">
        <f>IFERROR(__xludf.dummyfunction("""COMPUTED_VALUE"""),"024.884.774-00")</f>
        <v>024.884.774-00</v>
      </c>
      <c r="M223" s="146" t="str">
        <f>IFERROR(__xludf.dummyfunction("""COMPUTED_VALUE"""),"15/11/2025")</f>
        <v>15/11/2025</v>
      </c>
      <c r="N223" s="3"/>
      <c r="O223" s="3" t="str">
        <f>IFERROR(__xludf.dummyfunction("""COMPUTED_VALUE"""),"0")</f>
        <v>0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hidden="1" customHeight="1" spans="1:29">
      <c r="A224" s="3"/>
      <c r="B224" s="3" t="str">
        <f t="array" ref="B224">_xlfn.XLOOKUP(D224,Tabela_Dados_Esc_JAB_2026[INEP],Tabela_Dados_Esc_JAB_2026[REGIONAL],"NE",0)</f>
        <v>REGIONAL 4</v>
      </c>
      <c r="C224" s="4" t="str">
        <f>IFERROR(__xludf.dummyfunction("""COMPUTED_VALUE"""),"CENTRO MUNICIPAL DE EDUCAÇÃO INFANTIL MARCOS FREIRE")</f>
        <v>CENTRO MUNICIPAL DE EDUCAÇÃO INFANTIL MARCOS FREIRE</v>
      </c>
      <c r="D224" s="3" t="str">
        <f>IFERROR(__xludf.dummyfunction("""COMPUTED_VALUE"""),"26156288")</f>
        <v>26156288</v>
      </c>
      <c r="E224" s="3" t="str">
        <f>IFERROR(__xludf.dummyfunction("""COMPUTED_VALUE"""),"INFANTIL 1")</f>
        <v>INFANTIL 1</v>
      </c>
      <c r="F224" s="3" t="str">
        <f>IFERROR(__xludf.dummyfunction("""COMPUTED_VALUE"""),"Integral")</f>
        <v>Integral</v>
      </c>
      <c r="G224" s="3" t="str">
        <f>IFERROR(__xludf.dummyfunction("""COMPUTED_VALUE"""),"Comum")</f>
        <v>Comum</v>
      </c>
      <c r="H224" s="3" t="str">
        <f>IFERROR(__xludf.dummyfunction("""COMPUTED_VALUE"""),"2")</f>
        <v>2</v>
      </c>
      <c r="I224" s="145" t="str">
        <f>IFERROR(__xludf.dummyfunction("""COMPUTED_VALUE"""),"26032811718")</f>
        <v>26032811718</v>
      </c>
      <c r="J224" s="3" t="str">
        <f>IFERROR(__xludf.dummyfunction("""COMPUTED_VALUE"""),"03/03/2026 09:31:27")</f>
        <v>03/03/2026 09:31:27</v>
      </c>
      <c r="K224" s="3" t="str">
        <f>IFERROR(__xludf.dummyfunction("""COMPUTED_VALUE"""),"JADE KLARISSE GOMES DO NASCIMENTO")</f>
        <v>JADE KLARISSE GOMES DO NASCIMENTO</v>
      </c>
      <c r="L224" s="146" t="str">
        <f>IFERROR(__xludf.dummyfunction("""COMPUTED_VALUE"""),"003.669.294-88")</f>
        <v>003.669.294-88</v>
      </c>
      <c r="M224" s="146" t="str">
        <f>IFERROR(__xludf.dummyfunction("""COMPUTED_VALUE"""),"25/07/2024")</f>
        <v>25/07/2024</v>
      </c>
      <c r="N224" s="3"/>
      <c r="O224" s="3" t="str">
        <f>IFERROR(__xludf.dummyfunction("""COMPUTED_VALUE"""),"0")</f>
        <v>0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hidden="1" customHeight="1" spans="1:29">
      <c r="A225" s="3"/>
      <c r="B225" s="3" t="str">
        <f t="array" ref="B225">_xlfn.XLOOKUP(D225,Tabela_Dados_Esc_JAB_2026[INEP],Tabela_Dados_Esc_JAB_2026[REGIONAL],"NE",0)</f>
        <v>REGIONAL 4</v>
      </c>
      <c r="C225" s="4" t="str">
        <f>IFERROR(__xludf.dummyfunction("""COMPUTED_VALUE"""),"CENTRO MUNICIPAL DE EDUCAÇÃO INFANTIL MARCOS FREIRE")</f>
        <v>CENTRO MUNICIPAL DE EDUCAÇÃO INFANTIL MARCOS FREIRE</v>
      </c>
      <c r="D225" s="3" t="str">
        <f>IFERROR(__xludf.dummyfunction("""COMPUTED_VALUE"""),"26156288")</f>
        <v>26156288</v>
      </c>
      <c r="E225" s="3" t="str">
        <f>IFERROR(__xludf.dummyfunction("""COMPUTED_VALUE"""),"INFANTIL 1")</f>
        <v>INFANTIL 1</v>
      </c>
      <c r="F225" s="3" t="str">
        <f>IFERROR(__xludf.dummyfunction("""COMPUTED_VALUE"""),"Integral")</f>
        <v>Integral</v>
      </c>
      <c r="G225" s="3" t="str">
        <f>IFERROR(__xludf.dummyfunction("""COMPUTED_VALUE"""),"Comum")</f>
        <v>Comum</v>
      </c>
      <c r="H225" s="3" t="str">
        <f>IFERROR(__xludf.dummyfunction("""COMPUTED_VALUE"""),"3")</f>
        <v>3</v>
      </c>
      <c r="I225" s="145" t="str">
        <f>IFERROR(__xludf.dummyfunction("""COMPUTED_VALUE"""),"26032733195")</f>
        <v>26032733195</v>
      </c>
      <c r="J225" s="3" t="str">
        <f>IFERROR(__xludf.dummyfunction("""COMPUTED_VALUE"""),"11/03/2026 16:45:43")</f>
        <v>11/03/2026 16:45:43</v>
      </c>
      <c r="K225" s="3" t="str">
        <f>IFERROR(__xludf.dummyfunction("""COMPUTED_VALUE"""),"JOSE CALLEB DA SILVA")</f>
        <v>JOSE CALLEB DA SILVA</v>
      </c>
      <c r="L225" s="146" t="str">
        <f>IFERROR(__xludf.dummyfunction("""COMPUTED_VALUE"""),"007.131.994-82")</f>
        <v>007.131.994-82</v>
      </c>
      <c r="M225" s="146" t="str">
        <f>IFERROR(__xludf.dummyfunction("""COMPUTED_VALUE"""),"13/08/2025")</f>
        <v>13/08/2025</v>
      </c>
      <c r="N225" s="3"/>
      <c r="O225" s="3" t="str">
        <f>IFERROR(__xludf.dummyfunction("""COMPUTED_VALUE"""),"0")</f>
        <v>0</v>
      </c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hidden="1" customHeight="1" spans="1:29">
      <c r="A226" s="3"/>
      <c r="B226" s="3" t="str">
        <f t="array" ref="B226">_xlfn.XLOOKUP(D226,Tabela_Dados_Esc_JAB_2026[INEP],Tabela_Dados_Esc_JAB_2026[REGIONAL],"NE",0)</f>
        <v>REGIONAL 4</v>
      </c>
      <c r="C226" s="4" t="str">
        <f>IFERROR(__xludf.dummyfunction("""COMPUTED_VALUE"""),"CENTRO MUNICIPAL DE EDUCAÇÃO INFANTIL MARCOS FREIRE")</f>
        <v>CENTRO MUNICIPAL DE EDUCAÇÃO INFANTIL MARCOS FREIRE</v>
      </c>
      <c r="D226" s="3" t="str">
        <f>IFERROR(__xludf.dummyfunction("""COMPUTED_VALUE"""),"26156288")</f>
        <v>26156288</v>
      </c>
      <c r="E226" s="3" t="str">
        <f>IFERROR(__xludf.dummyfunction("""COMPUTED_VALUE"""),"INFANTIL 1")</f>
        <v>INFANTIL 1</v>
      </c>
      <c r="F226" s="3" t="str">
        <f>IFERROR(__xludf.dummyfunction("""COMPUTED_VALUE"""),"Integral")</f>
        <v>Integral</v>
      </c>
      <c r="G226" s="3" t="str">
        <f>IFERROR(__xludf.dummyfunction("""COMPUTED_VALUE"""),"Comum")</f>
        <v>Comum</v>
      </c>
      <c r="H226" s="3" t="str">
        <f>IFERROR(__xludf.dummyfunction("""COMPUTED_VALUE"""),"4")</f>
        <v>4</v>
      </c>
      <c r="I226" s="145" t="str">
        <f>IFERROR(__xludf.dummyfunction("""COMPUTED_VALUE"""),"26032411794")</f>
        <v>26032411794</v>
      </c>
      <c r="J226" s="3" t="str">
        <f>IFERROR(__xludf.dummyfunction("""COMPUTED_VALUE"""),"12/03/2026 06:29:35")</f>
        <v>12/03/2026 06:29:35</v>
      </c>
      <c r="K226" s="3" t="str">
        <f>IFERROR(__xludf.dummyfunction("""COMPUTED_VALUE"""),"MARIA ISADORA ALBUQUERQUE DE SANTANA")</f>
        <v>MARIA ISADORA ALBUQUERQUE DE SANTANA</v>
      </c>
      <c r="L226" s="146" t="str">
        <f>IFERROR(__xludf.dummyfunction("""COMPUTED_VALUE"""),"005.362.524-24")</f>
        <v>005.362.524-24</v>
      </c>
      <c r="M226" s="146" t="str">
        <f>IFERROR(__xludf.dummyfunction("""COMPUTED_VALUE"""),"13/02/2025")</f>
        <v>13/02/2025</v>
      </c>
      <c r="N226" s="3"/>
      <c r="O226" s="3" t="str">
        <f>IFERROR(__xludf.dummyfunction("""COMPUTED_VALUE"""),"0")</f>
        <v>0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hidden="1" customHeight="1" spans="1:29">
      <c r="A227" s="3"/>
      <c r="B227" s="3" t="str">
        <f t="array" ref="B227">_xlfn.XLOOKUP(D227,Tabela_Dados_Esc_JAB_2026[INEP],Tabela_Dados_Esc_JAB_2026[REGIONAL],"NE",0)</f>
        <v>REGIONAL 4</v>
      </c>
      <c r="C227" s="4" t="str">
        <f>IFERROR(__xludf.dummyfunction("""COMPUTED_VALUE"""),"CENTRO MUNICIPAL DE EDUCAÇÃO INFANTIL MARCOS FREIRE")</f>
        <v>CENTRO MUNICIPAL DE EDUCAÇÃO INFANTIL MARCOS FREIRE</v>
      </c>
      <c r="D227" s="3" t="str">
        <f>IFERROR(__xludf.dummyfunction("""COMPUTED_VALUE"""),"26156288")</f>
        <v>26156288</v>
      </c>
      <c r="E227" s="3" t="str">
        <f>IFERROR(__xludf.dummyfunction("""COMPUTED_VALUE"""),"INFANTIL 1")</f>
        <v>INFANTIL 1</v>
      </c>
      <c r="F227" s="3" t="str">
        <f>IFERROR(__xludf.dummyfunction("""COMPUTED_VALUE"""),"Integral")</f>
        <v>Integral</v>
      </c>
      <c r="G227" s="3" t="str">
        <f>IFERROR(__xludf.dummyfunction("""COMPUTED_VALUE"""),"Comum")</f>
        <v>Comum</v>
      </c>
      <c r="H227" s="3" t="str">
        <f>IFERROR(__xludf.dummyfunction("""COMPUTED_VALUE"""),"5")</f>
        <v>5</v>
      </c>
      <c r="I227" s="145" t="str">
        <f>IFERROR(__xludf.dummyfunction("""COMPUTED_VALUE"""),"26032317348")</f>
        <v>26032317348</v>
      </c>
      <c r="J227" s="3" t="str">
        <f>IFERROR(__xludf.dummyfunction("""COMPUTED_VALUE"""),"18/03/2026 11:00:34")</f>
        <v>18/03/2026 11:00:34</v>
      </c>
      <c r="K227" s="3" t="str">
        <f>IFERROR(__xludf.dummyfunction("""COMPUTED_VALUE"""),"BRYAN CALEB DOS SANTOS CORREIA")</f>
        <v>BRYAN CALEB DOS SANTOS CORREIA</v>
      </c>
      <c r="L227" s="146" t="str">
        <f>IFERROR(__xludf.dummyfunction("""COMPUTED_VALUE"""),"006.316.154-07")</f>
        <v>006.316.154-07</v>
      </c>
      <c r="M227" s="146" t="str">
        <f>IFERROR(__xludf.dummyfunction("""COMPUTED_VALUE"""),"28/05/2025")</f>
        <v>28/05/2025</v>
      </c>
      <c r="N227" s="3"/>
      <c r="O227" s="3" t="str">
        <f>IFERROR(__xludf.dummyfunction("""COMPUTED_VALUE"""),"0")</f>
        <v>0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hidden="1" customHeight="1" spans="1:29">
      <c r="A228" s="3"/>
      <c r="B228" s="3" t="str">
        <f t="array" ref="B228">_xlfn.XLOOKUP(D228,Tabela_Dados_Esc_JAB_2026[INEP],Tabela_Dados_Esc_JAB_2026[REGIONAL],"NE",0)</f>
        <v>REGIONAL 4</v>
      </c>
      <c r="C228" s="4" t="str">
        <f>IFERROR(__xludf.dummyfunction("""COMPUTED_VALUE"""),"CENTRO MUNICIPAL DE EDUCAÇÃO INFANTIL MARCOS FREIRE")</f>
        <v>CENTRO MUNICIPAL DE EDUCAÇÃO INFANTIL MARCOS FREIRE</v>
      </c>
      <c r="D228" s="3" t="str">
        <f>IFERROR(__xludf.dummyfunction("""COMPUTED_VALUE"""),"26156288")</f>
        <v>26156288</v>
      </c>
      <c r="E228" s="3" t="str">
        <f>IFERROR(__xludf.dummyfunction("""COMPUTED_VALUE"""),"INFANTIL 1")</f>
        <v>INFANTIL 1</v>
      </c>
      <c r="F228" s="3" t="str">
        <f>IFERROR(__xludf.dummyfunction("""COMPUTED_VALUE"""),"Integral")</f>
        <v>Integral</v>
      </c>
      <c r="G228" s="3" t="str">
        <f>IFERROR(__xludf.dummyfunction("""COMPUTED_VALUE"""),"Comum")</f>
        <v>Comum</v>
      </c>
      <c r="H228" s="3" t="str">
        <f>IFERROR(__xludf.dummyfunction("""COMPUTED_VALUE"""),"6")</f>
        <v>6</v>
      </c>
      <c r="I228" s="145" t="str">
        <f>IFERROR(__xludf.dummyfunction("""COMPUTED_VALUE"""),"26032058550")</f>
        <v>26032058550</v>
      </c>
      <c r="J228" s="3" t="str">
        <f>IFERROR(__xludf.dummyfunction("""COMPUTED_VALUE"""),"23/03/2026 12:20:04")</f>
        <v>23/03/2026 12:20:04</v>
      </c>
      <c r="K228" s="3" t="str">
        <f>IFERROR(__xludf.dummyfunction("""COMPUTED_VALUE"""),"DALILA DOS SANTOS")</f>
        <v>DALILA DOS SANTOS</v>
      </c>
      <c r="L228" s="146" t="str">
        <f>IFERROR(__xludf.dummyfunction("""COMPUTED_VALUE"""),"002.673.744-29")</f>
        <v>002.673.744-29</v>
      </c>
      <c r="M228" s="146" t="str">
        <f>IFERROR(__xludf.dummyfunction("""COMPUTED_VALUE"""),"09/04/2024")</f>
        <v>09/04/2024</v>
      </c>
      <c r="N228" s="3"/>
      <c r="O228" s="3" t="str">
        <f>IFERROR(__xludf.dummyfunction("""COMPUTED_VALUE"""),"0")</f>
        <v>0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hidden="1" customHeight="1" spans="1:29">
      <c r="A229" s="3"/>
      <c r="B229" s="3" t="str">
        <f t="array" ref="B229">_xlfn.XLOOKUP(D229,Tabela_Dados_Esc_JAB_2026[INEP],Tabela_Dados_Esc_JAB_2026[REGIONAL],"NE",0)</f>
        <v>REGIONAL 4</v>
      </c>
      <c r="C229" s="4" t="str">
        <f>IFERROR(__xludf.dummyfunction("""COMPUTED_VALUE"""),"CENTRO MUNICIPAL DE EDUCAÇÃO INFANTIL MARCOS FREIRE")</f>
        <v>CENTRO MUNICIPAL DE EDUCAÇÃO INFANTIL MARCOS FREIRE</v>
      </c>
      <c r="D229" s="3" t="str">
        <f>IFERROR(__xludf.dummyfunction("""COMPUTED_VALUE"""),"26156288")</f>
        <v>26156288</v>
      </c>
      <c r="E229" s="3" t="str">
        <f>IFERROR(__xludf.dummyfunction("""COMPUTED_VALUE"""),"INFANTIL 1")</f>
        <v>INFANTIL 1</v>
      </c>
      <c r="F229" s="3" t="str">
        <f>IFERROR(__xludf.dummyfunction("""COMPUTED_VALUE"""),"Integral")</f>
        <v>Integral</v>
      </c>
      <c r="G229" s="3" t="str">
        <f>IFERROR(__xludf.dummyfunction("""COMPUTED_VALUE"""),"Comum")</f>
        <v>Comum</v>
      </c>
      <c r="H229" s="3" t="str">
        <f>IFERROR(__xludf.dummyfunction("""COMPUTED_VALUE"""),"7")</f>
        <v>7</v>
      </c>
      <c r="I229" s="145" t="str">
        <f>IFERROR(__xludf.dummyfunction("""COMPUTED_VALUE"""),"26032656769")</f>
        <v>26032656769</v>
      </c>
      <c r="J229" s="3" t="str">
        <f>IFERROR(__xludf.dummyfunction("""COMPUTED_VALUE"""),"27/03/2026 14:19:05")</f>
        <v>27/03/2026 14:19:05</v>
      </c>
      <c r="K229" s="3" t="str">
        <f>IFERROR(__xludf.dummyfunction("""COMPUTED_VALUE"""),"RAVILA LOUISE CUSTÓDIO ALVES DA SILVA")</f>
        <v>RAVILA LOUISE CUSTÓDIO ALVES DA SILVA</v>
      </c>
      <c r="L229" s="146" t="str">
        <f>IFERROR(__xludf.dummyfunction("""COMPUTED_VALUE"""),"004.783.134-03")</f>
        <v>004.783.134-03</v>
      </c>
      <c r="M229" s="146" t="str">
        <f>IFERROR(__xludf.dummyfunction("""COMPUTED_VALUE"""),"05/12/2024")</f>
        <v>05/12/2024</v>
      </c>
      <c r="N229" s="3"/>
      <c r="O229" s="3" t="str">
        <f>IFERROR(__xludf.dummyfunction("""COMPUTED_VALUE"""),"0")</f>
        <v>0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hidden="1" customHeight="1" spans="1:29">
      <c r="A230" s="3"/>
      <c r="B230" s="3" t="str">
        <f t="array" ref="B230">_xlfn.XLOOKUP(D230,Tabela_Dados_Esc_JAB_2026[INEP],Tabela_Dados_Esc_JAB_2026[REGIONAL],"NE",0)</f>
        <v>REGIONAL 4</v>
      </c>
      <c r="C230" s="4" t="str">
        <f>IFERROR(__xludf.dummyfunction("""COMPUTED_VALUE"""),"CENTRO MUNICIPAL DE EDUCAÇÃO INFANTIL MARCOS FREIRE")</f>
        <v>CENTRO MUNICIPAL DE EDUCAÇÃO INFANTIL MARCOS FREIRE</v>
      </c>
      <c r="D230" s="3" t="str">
        <f>IFERROR(__xludf.dummyfunction("""COMPUTED_VALUE"""),"26156288")</f>
        <v>26156288</v>
      </c>
      <c r="E230" s="3" t="str">
        <f>IFERROR(__xludf.dummyfunction("""COMPUTED_VALUE"""),"INFANTIL 1")</f>
        <v>INFANTIL 1</v>
      </c>
      <c r="F230" s="3" t="str">
        <f>IFERROR(__xludf.dummyfunction("""COMPUTED_VALUE"""),"Integral")</f>
        <v>Integral</v>
      </c>
      <c r="G230" s="3" t="str">
        <f>IFERROR(__xludf.dummyfunction("""COMPUTED_VALUE"""),"Comum")</f>
        <v>Comum</v>
      </c>
      <c r="H230" s="3" t="str">
        <f>IFERROR(__xludf.dummyfunction("""COMPUTED_VALUE"""),"8")</f>
        <v>8</v>
      </c>
      <c r="I230" s="145" t="str">
        <f>IFERROR(__xludf.dummyfunction("""COMPUTED_VALUE"""),"26042102490")</f>
        <v>26042102490</v>
      </c>
      <c r="J230" s="3" t="str">
        <f>IFERROR(__xludf.dummyfunction("""COMPUTED_VALUE"""),"08/04/2026 10:45:14")</f>
        <v>08/04/2026 10:45:14</v>
      </c>
      <c r="K230" s="3" t="str">
        <f>IFERROR(__xludf.dummyfunction("""COMPUTED_VALUE"""),"THOMÁS SANTIAGO DE LIMA")</f>
        <v>THOMÁS SANTIAGO DE LIMA</v>
      </c>
      <c r="L230" s="146" t="str">
        <f>IFERROR(__xludf.dummyfunction("""COMPUTED_VALUE"""),"004.437.094-67")</f>
        <v>004.437.094-67</v>
      </c>
      <c r="M230" s="146" t="str">
        <f>IFERROR(__xludf.dummyfunction("""COMPUTED_VALUE"""),"28/10/2024")</f>
        <v>28/10/2024</v>
      </c>
      <c r="N230" s="3"/>
      <c r="O230" s="3" t="str">
        <f>IFERROR(__xludf.dummyfunction("""COMPUTED_VALUE"""),"0")</f>
        <v>0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hidden="1" customHeight="1" spans="1:29">
      <c r="A231" s="3"/>
      <c r="B231" s="3" t="str">
        <f t="array" ref="B231">_xlfn.XLOOKUP(D231,Tabela_Dados_Esc_JAB_2026[INEP],Tabela_Dados_Esc_JAB_2026[REGIONAL],"NE",0)</f>
        <v>REGIONAL 4</v>
      </c>
      <c r="C231" s="4" t="str">
        <f>IFERROR(__xludf.dummyfunction("""COMPUTED_VALUE"""),"CENTRO MUNICIPAL DE EDUCAÇÃO INFANTIL MARCOS FREIRE")</f>
        <v>CENTRO MUNICIPAL DE EDUCAÇÃO INFANTIL MARCOS FREIRE</v>
      </c>
      <c r="D231" s="3" t="str">
        <f>IFERROR(__xludf.dummyfunction("""COMPUTED_VALUE"""),"26156288")</f>
        <v>26156288</v>
      </c>
      <c r="E231" s="3" t="str">
        <f>IFERROR(__xludf.dummyfunction("""COMPUTED_VALUE"""),"INFANTIL 1")</f>
        <v>INFANTIL 1</v>
      </c>
      <c r="F231" s="3" t="str">
        <f>IFERROR(__xludf.dummyfunction("""COMPUTED_VALUE"""),"Integral")</f>
        <v>Integral</v>
      </c>
      <c r="G231" s="3" t="str">
        <f>IFERROR(__xludf.dummyfunction("""COMPUTED_VALUE"""),"Comum")</f>
        <v>Comum</v>
      </c>
      <c r="H231" s="3" t="str">
        <f>IFERROR(__xludf.dummyfunction("""COMPUTED_VALUE"""),"9")</f>
        <v>9</v>
      </c>
      <c r="I231" s="145" t="str">
        <f>IFERROR(__xludf.dummyfunction("""COMPUTED_VALUE"""),"26042789546")</f>
        <v>26042789546</v>
      </c>
      <c r="J231" s="3" t="str">
        <f>IFERROR(__xludf.dummyfunction("""COMPUTED_VALUE"""),"14/04/2026 09:51:21")</f>
        <v>14/04/2026 09:51:21</v>
      </c>
      <c r="K231" s="3" t="str">
        <f>IFERROR(__xludf.dummyfunction("""COMPUTED_VALUE"""),"MAYAH GABRYELLY PATRIARCA DE LIMA")</f>
        <v>MAYAH GABRYELLY PATRIARCA DE LIMA</v>
      </c>
      <c r="L231" s="146" t="str">
        <f>IFERROR(__xludf.dummyfunction("""COMPUTED_VALUE"""),"014.136.034-83")</f>
        <v>014.136.034-83</v>
      </c>
      <c r="M231" s="146" t="str">
        <f>IFERROR(__xludf.dummyfunction("""COMPUTED_VALUE"""),"25/08/2025")</f>
        <v>25/08/2025</v>
      </c>
      <c r="N231" s="3"/>
      <c r="O231" s="3" t="str">
        <f>IFERROR(__xludf.dummyfunction("""COMPUTED_VALUE"""),"0")</f>
        <v>0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hidden="1" customHeight="1" spans="1:29">
      <c r="A232" s="3"/>
      <c r="B232" s="3" t="str">
        <f t="array" ref="B232">_xlfn.XLOOKUP(D232,Tabela_Dados_Esc_JAB_2026[INEP],Tabela_Dados_Esc_JAB_2026[REGIONAL],"NE",0)</f>
        <v>REGIONAL 4</v>
      </c>
      <c r="C232" s="4" t="str">
        <f>IFERROR(__xludf.dummyfunction("""COMPUTED_VALUE"""),"CENTRO MUNICIPAL DE EDUCAÇÃO INFANTIL MARCOS FREIRE")</f>
        <v>CENTRO MUNICIPAL DE EDUCAÇÃO INFANTIL MARCOS FREIRE</v>
      </c>
      <c r="D232" s="3" t="str">
        <f>IFERROR(__xludf.dummyfunction("""COMPUTED_VALUE"""),"26156288")</f>
        <v>26156288</v>
      </c>
      <c r="E232" s="3" t="str">
        <f>IFERROR(__xludf.dummyfunction("""COMPUTED_VALUE"""),"INFANTIL 1")</f>
        <v>INFANTIL 1</v>
      </c>
      <c r="F232" s="3" t="str">
        <f>IFERROR(__xludf.dummyfunction("""COMPUTED_VALUE"""),"Integral")</f>
        <v>Integral</v>
      </c>
      <c r="G232" s="3" t="str">
        <f>IFERROR(__xludf.dummyfunction("""COMPUTED_VALUE"""),"Comum")</f>
        <v>Comum</v>
      </c>
      <c r="H232" s="3" t="str">
        <f>IFERROR(__xludf.dummyfunction("""COMPUTED_VALUE"""),"10")</f>
        <v>10</v>
      </c>
      <c r="I232" s="145" t="str">
        <f>IFERROR(__xludf.dummyfunction("""COMPUTED_VALUE"""),"26042234675")</f>
        <v>26042234675</v>
      </c>
      <c r="J232" s="3" t="str">
        <f>IFERROR(__xludf.dummyfunction("""COMPUTED_VALUE"""),"15/04/2026 16:58:08")</f>
        <v>15/04/2026 16:58:08</v>
      </c>
      <c r="K232" s="3" t="str">
        <f>IFERROR(__xludf.dummyfunction("""COMPUTED_VALUE"""),"EVANGELINE MENDES DA SILVA")</f>
        <v>EVANGELINE MENDES DA SILVA</v>
      </c>
      <c r="L232" s="146" t="str">
        <f>IFERROR(__xludf.dummyfunction("""COMPUTED_VALUE"""),"050.824.554-00")</f>
        <v>050.824.554-00</v>
      </c>
      <c r="M232" s="146" t="str">
        <f>IFERROR(__xludf.dummyfunction("""COMPUTED_VALUE"""),"12/02/2025")</f>
        <v>12/02/2025</v>
      </c>
      <c r="N232" s="3"/>
      <c r="O232" s="3" t="str">
        <f>IFERROR(__xludf.dummyfunction("""COMPUTED_VALUE"""),"0")</f>
        <v>0</v>
      </c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hidden="1" customHeight="1" spans="1:29">
      <c r="A233" s="3"/>
      <c r="B233" s="3" t="str">
        <f t="array" ref="B233">_xlfn.XLOOKUP(D233,Tabela_Dados_Esc_JAB_2026[INEP],Tabela_Dados_Esc_JAB_2026[REGIONAL],"NE",0)</f>
        <v>REGIONAL 4</v>
      </c>
      <c r="C233" s="4" t="str">
        <f>IFERROR(__xludf.dummyfunction("""COMPUTED_VALUE"""),"CENTRO MUNICIPAL DE EDUCAÇÃO INFANTIL MARCOS FREIRE")</f>
        <v>CENTRO MUNICIPAL DE EDUCAÇÃO INFANTIL MARCOS FREIRE</v>
      </c>
      <c r="D233" s="3" t="str">
        <f>IFERROR(__xludf.dummyfunction("""COMPUTED_VALUE"""),"26156288")</f>
        <v>26156288</v>
      </c>
      <c r="E233" s="3" t="str">
        <f>IFERROR(__xludf.dummyfunction("""COMPUTED_VALUE"""),"INFANTIL 1")</f>
        <v>INFANTIL 1</v>
      </c>
      <c r="F233" s="3" t="str">
        <f>IFERROR(__xludf.dummyfunction("""COMPUTED_VALUE"""),"Integral")</f>
        <v>Integral</v>
      </c>
      <c r="G233" s="3" t="str">
        <f>IFERROR(__xludf.dummyfunction("""COMPUTED_VALUE"""),"Comum")</f>
        <v>Comum</v>
      </c>
      <c r="H233" s="3" t="str">
        <f>IFERROR(__xludf.dummyfunction("""COMPUTED_VALUE"""),"11")</f>
        <v>11</v>
      </c>
      <c r="I233" s="145" t="str">
        <f>IFERROR(__xludf.dummyfunction("""COMPUTED_VALUE"""),"26052886541")</f>
        <v>26052886541</v>
      </c>
      <c r="J233" s="3" t="str">
        <f>IFERROR(__xludf.dummyfunction("""COMPUTED_VALUE"""),"11/05/2026 14:39:32")</f>
        <v>11/05/2026 14:39:32</v>
      </c>
      <c r="K233" s="3" t="str">
        <f>IFERROR(__xludf.dummyfunction("""COMPUTED_VALUE"""),"JADE HELENA PARAISO DE ASSIS")</f>
        <v>JADE HELENA PARAISO DE ASSIS</v>
      </c>
      <c r="L233" s="146" t="str">
        <f>IFERROR(__xludf.dummyfunction("""COMPUTED_VALUE"""),"003.489.334-28")</f>
        <v>003.489.334-28</v>
      </c>
      <c r="M233" s="146" t="str">
        <f>IFERROR(__xludf.dummyfunction("""COMPUTED_VALUE"""),"11/07/2024")</f>
        <v>11/07/2024</v>
      </c>
      <c r="N233" s="3"/>
      <c r="O233" s="3" t="str">
        <f>IFERROR(__xludf.dummyfunction("""COMPUTED_VALUE"""),"0")</f>
        <v>0</v>
      </c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hidden="1" customHeight="1" spans="1:29">
      <c r="A234" s="3"/>
      <c r="B234" s="3" t="str">
        <f t="array" ref="B234">_xlfn.XLOOKUP(D234,Tabela_Dados_Esc_JAB_2026[INEP],Tabela_Dados_Esc_JAB_2026[REGIONAL],"NE",0)</f>
        <v>REGIONAL 4</v>
      </c>
      <c r="C234" s="4" t="str">
        <f>IFERROR(__xludf.dummyfunction("""COMPUTED_VALUE"""),"CENTRO MUNICIPAL DE EDUCAÇÃO INFANTIL MARCOS FREIRE")</f>
        <v>CENTRO MUNICIPAL DE EDUCAÇÃO INFANTIL MARCOS FREIRE</v>
      </c>
      <c r="D234" s="3" t="str">
        <f>IFERROR(__xludf.dummyfunction("""COMPUTED_VALUE"""),"26156288")</f>
        <v>26156288</v>
      </c>
      <c r="E234" s="3" t="str">
        <f>IFERROR(__xludf.dummyfunction("""COMPUTED_VALUE"""),"INFANTIL 1")</f>
        <v>INFANTIL 1</v>
      </c>
      <c r="F234" s="3" t="str">
        <f>IFERROR(__xludf.dummyfunction("""COMPUTED_VALUE"""),"Integral")</f>
        <v>Integral</v>
      </c>
      <c r="G234" s="3" t="str">
        <f>IFERROR(__xludf.dummyfunction("""COMPUTED_VALUE"""),"Comum")</f>
        <v>Comum</v>
      </c>
      <c r="H234" s="3" t="str">
        <f>IFERROR(__xludf.dummyfunction("""COMPUTED_VALUE"""),"12")</f>
        <v>12</v>
      </c>
      <c r="I234" s="145" t="str">
        <f>IFERROR(__xludf.dummyfunction("""COMPUTED_VALUE"""),"26052806799")</f>
        <v>26052806799</v>
      </c>
      <c r="J234" s="3" t="str">
        <f>IFERROR(__xludf.dummyfunction("""COMPUTED_VALUE"""),"26/05/2026 13:30:04")</f>
        <v>26/05/2026 13:30:04</v>
      </c>
      <c r="K234" s="3" t="str">
        <f>IFERROR(__xludf.dummyfunction("""COMPUTED_VALUE"""),"MERLYA VITORIA DA SILVA FERNANDES")</f>
        <v>MERLYA VITORIA DA SILVA FERNANDES</v>
      </c>
      <c r="L234" s="146" t="str">
        <f>IFERROR(__xludf.dummyfunction("""COMPUTED_VALUE"""),"006.677.104-85")</f>
        <v>006.677.104-85</v>
      </c>
      <c r="M234" s="146" t="str">
        <f>IFERROR(__xludf.dummyfunction("""COMPUTED_VALUE"""),"14/05/2025")</f>
        <v>14/05/2025</v>
      </c>
      <c r="N234" s="3"/>
      <c r="O234" s="3" t="str">
        <f>IFERROR(__xludf.dummyfunction("""COMPUTED_VALUE"""),"0")</f>
        <v>0</v>
      </c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hidden="1" customHeight="1" spans="1:29">
      <c r="A235" s="3"/>
      <c r="B235" s="3" t="str">
        <f t="array" ref="B235">_xlfn.XLOOKUP(D235,Tabela_Dados_Esc_JAB_2026[INEP],Tabela_Dados_Esc_JAB_2026[REGIONAL],"NE",0)</f>
        <v>REGIONAL 4</v>
      </c>
      <c r="C235" s="4" t="str">
        <f>IFERROR(__xludf.dummyfunction("""COMPUTED_VALUE"""),"CENTRO MUNICIPAL DE EDUCAÇÃO INFANTIL MARCOS FREIRE")</f>
        <v>CENTRO MUNICIPAL DE EDUCAÇÃO INFANTIL MARCOS FREIRE</v>
      </c>
      <c r="D235" s="3" t="str">
        <f>IFERROR(__xludf.dummyfunction("""COMPUTED_VALUE"""),"26156288")</f>
        <v>26156288</v>
      </c>
      <c r="E235" s="3" t="str">
        <f>IFERROR(__xludf.dummyfunction("""COMPUTED_VALUE"""),"INFANTIL 1")</f>
        <v>INFANTIL 1</v>
      </c>
      <c r="F235" s="3" t="str">
        <f>IFERROR(__xludf.dummyfunction("""COMPUTED_VALUE"""),"Integral")</f>
        <v>Integral</v>
      </c>
      <c r="G235" s="3" t="str">
        <f>IFERROR(__xludf.dummyfunction("""COMPUTED_VALUE"""),"Comum")</f>
        <v>Comum</v>
      </c>
      <c r="H235" s="3" t="str">
        <f>IFERROR(__xludf.dummyfunction("""COMPUTED_VALUE"""),"13")</f>
        <v>13</v>
      </c>
      <c r="I235" s="147" t="str">
        <f>IFERROR(__xludf.dummyfunction("""COMPUTED_VALUE"""),"26062507959")</f>
        <v>26062507959</v>
      </c>
      <c r="J235" s="3" t="str">
        <f>IFERROR(__xludf.dummyfunction("""COMPUTED_VALUE"""),"03/06/2026 08:39:17")</f>
        <v>03/06/2026 08:39:17</v>
      </c>
      <c r="K235" s="3" t="str">
        <f>IFERROR(__xludf.dummyfunction("""COMPUTED_VALUE"""),"BRYAN GABRIEL CARNEIRO DE LIMA")</f>
        <v>BRYAN GABRIEL CARNEIRO DE LIMA</v>
      </c>
      <c r="L235" s="146" t="str">
        <f>IFERROR(__xludf.dummyfunction("""COMPUTED_VALUE"""),"003.558.374-63")</f>
        <v>003.558.374-63</v>
      </c>
      <c r="M235" s="146" t="str">
        <f>IFERROR(__xludf.dummyfunction("""COMPUTED_VALUE"""),"21/07/2024")</f>
        <v>21/07/2024</v>
      </c>
      <c r="N235" s="3"/>
      <c r="O235" s="3" t="str">
        <f>IFERROR(__xludf.dummyfunction("""COMPUTED_VALUE"""),"0")</f>
        <v>0</v>
      </c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hidden="1" customHeight="1" spans="1:29">
      <c r="A236" s="3"/>
      <c r="B236" s="3" t="str">
        <f t="array" ref="B236">_xlfn.XLOOKUP(D236,Tabela_Dados_Esc_JAB_2026[INEP],Tabela_Dados_Esc_JAB_2026[REGIONAL],"NE",0)</f>
        <v>REGIONAL 4</v>
      </c>
      <c r="C236" s="4" t="str">
        <f>IFERROR(__xludf.dummyfunction("""COMPUTED_VALUE"""),"CENTRO MUNICIPAL DE EDUCAÇÃO INFANTIL MARCOS FREIRE")</f>
        <v>CENTRO MUNICIPAL DE EDUCAÇÃO INFANTIL MARCOS FREIRE</v>
      </c>
      <c r="D236" s="3" t="str">
        <f>IFERROR(__xludf.dummyfunction("""COMPUTED_VALUE"""),"26156288")</f>
        <v>26156288</v>
      </c>
      <c r="E236" s="3" t="str">
        <f>IFERROR(__xludf.dummyfunction("""COMPUTED_VALUE"""),"INFANTIL 1")</f>
        <v>INFANTIL 1</v>
      </c>
      <c r="F236" s="3" t="str">
        <f>IFERROR(__xludf.dummyfunction("""COMPUTED_VALUE"""),"Integral")</f>
        <v>Integral</v>
      </c>
      <c r="G236" s="3" t="str">
        <f>IFERROR(__xludf.dummyfunction("""COMPUTED_VALUE"""),"Comum")</f>
        <v>Comum</v>
      </c>
      <c r="H236" s="3" t="str">
        <f>IFERROR(__xludf.dummyfunction("""COMPUTED_VALUE"""),"14")</f>
        <v>14</v>
      </c>
      <c r="I236" s="147" t="str">
        <f>IFERROR(__xludf.dummyfunction("""COMPUTED_VALUE"""),"26062472717")</f>
        <v>26062472717</v>
      </c>
      <c r="J236" s="3" t="str">
        <f>IFERROR(__xludf.dummyfunction("""COMPUTED_VALUE"""),"13/06/2026 12:51:02")</f>
        <v>13/06/2026 12:51:02</v>
      </c>
      <c r="K236" s="3" t="str">
        <f>IFERROR(__xludf.dummyfunction("""COMPUTED_VALUE"""),"Liz Helena de Lima Ferreira")</f>
        <v>Liz Helena de Lima Ferreira</v>
      </c>
      <c r="L236" s="146" t="str">
        <f>IFERROR(__xludf.dummyfunction("""COMPUTED_VALUE"""),"006.363.494-54")</f>
        <v>006.363.494-54</v>
      </c>
      <c r="M236" s="146" t="str">
        <f>IFERROR(__xludf.dummyfunction("""COMPUTED_VALUE"""),"29/05/2025")</f>
        <v>29/05/2025</v>
      </c>
      <c r="N236" s="3"/>
      <c r="O236" s="3" t="str">
        <f>IFERROR(__xludf.dummyfunction("""COMPUTED_VALUE"""),"0")</f>
        <v>0</v>
      </c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hidden="1" customHeight="1" spans="1:29">
      <c r="A237" s="3"/>
      <c r="B237" s="3" t="str">
        <f t="array" ref="B237">_xlfn.XLOOKUP(D237,Tabela_Dados_Esc_JAB_2026[INEP],Tabela_Dados_Esc_JAB_2026[REGIONAL],"NE",0)</f>
        <v>REGIONAL 4</v>
      </c>
      <c r="C237" s="4" t="str">
        <f>IFERROR(__xludf.dummyfunction("""COMPUTED_VALUE"""),"CENTRO MUNICIPAL DE EDUCAÇÃO INFANTIL MARCOS FREIRE")</f>
        <v>CENTRO MUNICIPAL DE EDUCAÇÃO INFANTIL MARCOS FREIRE</v>
      </c>
      <c r="D237" s="3" t="str">
        <f>IFERROR(__xludf.dummyfunction("""COMPUTED_VALUE"""),"26156288")</f>
        <v>26156288</v>
      </c>
      <c r="E237" s="3" t="str">
        <f>IFERROR(__xludf.dummyfunction("""COMPUTED_VALUE"""),"INFANTIL 1")</f>
        <v>INFANTIL 1</v>
      </c>
      <c r="F237" s="3" t="str">
        <f>IFERROR(__xludf.dummyfunction("""COMPUTED_VALUE"""),"Integral")</f>
        <v>Integral</v>
      </c>
      <c r="G237" s="3" t="str">
        <f>IFERROR(__xludf.dummyfunction("""COMPUTED_VALUE"""),"Comum")</f>
        <v>Comum</v>
      </c>
      <c r="H237" s="3" t="str">
        <f>IFERROR(__xludf.dummyfunction("""COMPUTED_VALUE"""),"15")</f>
        <v>15</v>
      </c>
      <c r="I237" s="147" t="str">
        <f>IFERROR(__xludf.dummyfunction("""COMPUTED_VALUE"""),"26072382765")</f>
        <v>26072382765</v>
      </c>
      <c r="J237" s="3" t="str">
        <f>IFERROR(__xludf.dummyfunction("""COMPUTED_VALUE"""),"01/07/2026 15:14:07")</f>
        <v>01/07/2026 15:14:07</v>
      </c>
      <c r="K237" s="3" t="str">
        <f>IFERROR(__xludf.dummyfunction("""COMPUTED_VALUE"""),"MAYA D'ÁVILA SANTOS DE SOUZA")</f>
        <v>MAYA D'ÁVILA SANTOS DE SOUZA</v>
      </c>
      <c r="L237" s="146" t="str">
        <f>IFERROR(__xludf.dummyfunction("""COMPUTED_VALUE"""),"124.118.271-05")</f>
        <v>124.118.271-05</v>
      </c>
      <c r="M237" s="146" t="str">
        <f>IFERROR(__xludf.dummyfunction("""COMPUTED_VALUE"""),"12/01/2025")</f>
        <v>12/01/2025</v>
      </c>
      <c r="N237" s="3"/>
      <c r="O237" s="3" t="str">
        <f>IFERROR(__xludf.dummyfunction("""COMPUTED_VALUE"""),"0")</f>
        <v>0</v>
      </c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hidden="1" customHeight="1" spans="1:29">
      <c r="A238" s="3"/>
      <c r="B238" s="3" t="str">
        <f t="array" ref="B238">_xlfn.XLOOKUP(D238,Tabela_Dados_Esc_JAB_2026[INEP],Tabela_Dados_Esc_JAB_2026[REGIONAL],"NE",0)</f>
        <v>REGIONAL 4</v>
      </c>
      <c r="C238" s="4" t="str">
        <f>IFERROR(__xludf.dummyfunction("""COMPUTED_VALUE"""),"CENTRO MUNICIPAL DE EDUCAÇÃO INFANTIL MARCOS FREIRE")</f>
        <v>CENTRO MUNICIPAL DE EDUCAÇÃO INFANTIL MARCOS FREIRE</v>
      </c>
      <c r="D238" s="3" t="str">
        <f>IFERROR(__xludf.dummyfunction("""COMPUTED_VALUE"""),"26156288")</f>
        <v>26156288</v>
      </c>
      <c r="E238" s="3" t="str">
        <f>IFERROR(__xludf.dummyfunction("""COMPUTED_VALUE"""),"INFANTIL 1")</f>
        <v>INFANTIL 1</v>
      </c>
      <c r="F238" s="3" t="str">
        <f>IFERROR(__xludf.dummyfunction("""COMPUTED_VALUE"""),"Integral")</f>
        <v>Integral</v>
      </c>
      <c r="G238" s="3" t="str">
        <f>IFERROR(__xludf.dummyfunction("""COMPUTED_VALUE"""),"Comum")</f>
        <v>Comum</v>
      </c>
      <c r="H238" s="3" t="str">
        <f>IFERROR(__xludf.dummyfunction("""COMPUTED_VALUE"""),"16")</f>
        <v>16</v>
      </c>
      <c r="I238" s="147" t="str">
        <f>IFERROR(__xludf.dummyfunction("""COMPUTED_VALUE"""),"26072328818")</f>
        <v>26072328818</v>
      </c>
      <c r="J238" s="3" t="str">
        <f>IFERROR(__xludf.dummyfunction("""COMPUTED_VALUE"""),"03/07/2026 16:18:13")</f>
        <v>03/07/2026 16:18:13</v>
      </c>
      <c r="K238" s="3" t="str">
        <f>IFERROR(__xludf.dummyfunction("""COMPUTED_VALUE"""),"Rodrigo Apolinário Correia Lima")</f>
        <v>Rodrigo Apolinário Correia Lima</v>
      </c>
      <c r="L238" s="146" t="str">
        <f>IFERROR(__xludf.dummyfunction("""COMPUTED_VALUE"""),"003.624.734-04")</f>
        <v>003.624.734-04</v>
      </c>
      <c r="M238" s="146" t="str">
        <f>IFERROR(__xludf.dummyfunction("""COMPUTED_VALUE"""),"26/07/2024")</f>
        <v>26/07/2024</v>
      </c>
      <c r="N238" s="3"/>
      <c r="O238" s="3" t="str">
        <f>IFERROR(__xludf.dummyfunction("""COMPUTED_VALUE"""),"0")</f>
        <v>0</v>
      </c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hidden="1" customHeight="1" spans="1:29">
      <c r="A239" s="3"/>
      <c r="B239" s="3" t="str">
        <f t="array" ref="B239">_xlfn.XLOOKUP(D239,Tabela_Dados_Esc_JAB_2026[INEP],Tabela_Dados_Esc_JAB_2026[REGIONAL],"NE",0)</f>
        <v>REGIONAL 4</v>
      </c>
      <c r="C239" s="4" t="str">
        <f>IFERROR(__xludf.dummyfunction("""COMPUTED_VALUE"""),"CENTRO MUNICIPAL DE EDUCAÇÃO INFANTIL MARCOS FREIRE")</f>
        <v>CENTRO MUNICIPAL DE EDUCAÇÃO INFANTIL MARCOS FREIRE</v>
      </c>
      <c r="D239" s="3" t="str">
        <f>IFERROR(__xludf.dummyfunction("""COMPUTED_VALUE"""),"26156288")</f>
        <v>26156288</v>
      </c>
      <c r="E239" s="3" t="str">
        <f>IFERROR(__xludf.dummyfunction("""COMPUTED_VALUE"""),"INFANTIL 1")</f>
        <v>INFANTIL 1</v>
      </c>
      <c r="F239" s="3" t="str">
        <f>IFERROR(__xludf.dummyfunction("""COMPUTED_VALUE"""),"Integral")</f>
        <v>Integral</v>
      </c>
      <c r="G239" s="3" t="str">
        <f>IFERROR(__xludf.dummyfunction("""COMPUTED_VALUE"""),"Comum")</f>
        <v>Comum</v>
      </c>
      <c r="H239" s="3" t="str">
        <f>IFERROR(__xludf.dummyfunction("""COMPUTED_VALUE"""),"17")</f>
        <v>17</v>
      </c>
      <c r="I239" s="147" t="str">
        <f>IFERROR(__xludf.dummyfunction("""COMPUTED_VALUE"""),"26072098415")</f>
        <v>26072098415</v>
      </c>
      <c r="J239" s="3" t="str">
        <f>IFERROR(__xludf.dummyfunction("""COMPUTED_VALUE"""),"28/07/2026 10:16:21")</f>
        <v>28/07/2026 10:16:21</v>
      </c>
      <c r="K239" s="3" t="str">
        <f>IFERROR(__xludf.dummyfunction("""COMPUTED_VALUE"""),"astrid torres de oliveira")</f>
        <v>astrid torres de oliveira</v>
      </c>
      <c r="L239" s="146" t="str">
        <f>IFERROR(__xludf.dummyfunction("""COMPUTED_VALUE"""),"002.751.294-03")</f>
        <v>002.751.294-03</v>
      </c>
      <c r="M239" s="146" t="str">
        <f>IFERROR(__xludf.dummyfunction("""COMPUTED_VALUE"""),"25/04/2024")</f>
        <v>25/04/2024</v>
      </c>
      <c r="N239" s="3"/>
      <c r="O239" s="3" t="str">
        <f>IFERROR(__xludf.dummyfunction("""COMPUTED_VALUE"""),"0")</f>
        <v>0</v>
      </c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hidden="1" customHeight="1" spans="1:29">
      <c r="A240" s="3"/>
      <c r="B240" s="3" t="str">
        <f t="array" ref="B240">_xlfn.XLOOKUP(D240,Tabela_Dados_Esc_JAB_2026[INEP],Tabela_Dados_Esc_JAB_2026[REGIONAL],"NE",0)</f>
        <v>REGIONAL 4</v>
      </c>
      <c r="C240" s="4" t="str">
        <f>IFERROR(__xludf.dummyfunction("""COMPUTED_VALUE"""),"CENTRO MUNICIPAL DE EDUCAÇÃO INFANTIL MARCOS FREIRE")</f>
        <v>CENTRO MUNICIPAL DE EDUCAÇÃO INFANTIL MARCOS FREIRE</v>
      </c>
      <c r="D240" s="3" t="str">
        <f>IFERROR(__xludf.dummyfunction("""COMPUTED_VALUE"""),"26156288")</f>
        <v>26156288</v>
      </c>
      <c r="E240" s="3" t="str">
        <f>IFERROR(__xludf.dummyfunction("""COMPUTED_VALUE"""),"INFANTIL 1")</f>
        <v>INFANTIL 1</v>
      </c>
      <c r="F240" s="3" t="str">
        <f>IFERROR(__xludf.dummyfunction("""COMPUTED_VALUE"""),"Integral")</f>
        <v>Integral</v>
      </c>
      <c r="G240" s="3" t="str">
        <f>IFERROR(__xludf.dummyfunction("""COMPUTED_VALUE"""),"Comum")</f>
        <v>Comum</v>
      </c>
      <c r="H240" s="3" t="str">
        <f>IFERROR(__xludf.dummyfunction("""COMPUTED_VALUE"""),"18")</f>
        <v>18</v>
      </c>
      <c r="I240" s="147" t="str">
        <f>IFERROR(__xludf.dummyfunction("""COMPUTED_VALUE"""),"26082070148")</f>
        <v>26082070148</v>
      </c>
      <c r="J240" s="3" t="str">
        <f>IFERROR(__xludf.dummyfunction("""COMPUTED_VALUE"""),"06/08/2026 14:52:11")</f>
        <v>06/08/2026 14:52:11</v>
      </c>
      <c r="K240" s="3" t="str">
        <f>IFERROR(__xludf.dummyfunction("""COMPUTED_VALUE"""),"GEANE ALMEIDA DO MONTE")</f>
        <v>GEANE ALMEIDA DO MONTE</v>
      </c>
      <c r="L240" s="146" t="str">
        <f>IFERROR(__xludf.dummyfunction("""COMPUTED_VALUE"""),"005.251.224-00")</f>
        <v>005.251.224-00</v>
      </c>
      <c r="M240" s="146" t="str">
        <f>IFERROR(__xludf.dummyfunction("""COMPUTED_VALUE"""),"20/01/2025")</f>
        <v>20/01/2025</v>
      </c>
      <c r="N240" s="3"/>
      <c r="O240" s="3" t="str">
        <f>IFERROR(__xludf.dummyfunction("""COMPUTED_VALUE"""),"0")</f>
        <v>0</v>
      </c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hidden="1" customHeight="1" spans="1:29">
      <c r="A241" s="3"/>
      <c r="B241" s="3" t="str">
        <f t="array" ref="B241">_xlfn.XLOOKUP(D241,Tabela_Dados_Esc_JAB_2026[INEP],Tabela_Dados_Esc_JAB_2026[REGIONAL],"NE",0)</f>
        <v>REGIONAL 4</v>
      </c>
      <c r="C241" s="4" t="str">
        <f>IFERROR(__xludf.dummyfunction("""COMPUTED_VALUE"""),"CENTRO MUNICIPAL DE EDUCAÇÃO INFANTIL MARCOS FREIRE")</f>
        <v>CENTRO MUNICIPAL DE EDUCAÇÃO INFANTIL MARCOS FREIRE</v>
      </c>
      <c r="D241" s="3" t="str">
        <f>IFERROR(__xludf.dummyfunction("""COMPUTED_VALUE"""),"26156288")</f>
        <v>26156288</v>
      </c>
      <c r="E241" s="3" t="str">
        <f>IFERROR(__xludf.dummyfunction("""COMPUTED_VALUE"""),"INFANTIL 1")</f>
        <v>INFANTIL 1</v>
      </c>
      <c r="F241" s="3" t="str">
        <f>IFERROR(__xludf.dummyfunction("""COMPUTED_VALUE"""),"Integral")</f>
        <v>Integral</v>
      </c>
      <c r="G241" s="3" t="str">
        <f>IFERROR(__xludf.dummyfunction("""COMPUTED_VALUE"""),"Comum")</f>
        <v>Comum</v>
      </c>
      <c r="H241" s="3" t="str">
        <f>IFERROR(__xludf.dummyfunction("""COMPUTED_VALUE"""),"19")</f>
        <v>19</v>
      </c>
      <c r="I241" s="147" t="str">
        <f>IFERROR(__xludf.dummyfunction("""COMPUTED_VALUE"""),"26082781620")</f>
        <v>26082781620</v>
      </c>
      <c r="J241" s="3" t="str">
        <f>IFERROR(__xludf.dummyfunction("""COMPUTED_VALUE"""),"06/08/2026 16:03:25")</f>
        <v>06/08/2026 16:03:25</v>
      </c>
      <c r="K241" s="3" t="str">
        <f>IFERROR(__xludf.dummyfunction("""COMPUTED_VALUE"""),"MAYA GABRIELE DA SILVA SOARES")</f>
        <v>MAYA GABRIELE DA SILVA SOARES</v>
      </c>
      <c r="L241" s="146" t="str">
        <f>IFERROR(__xludf.dummyfunction("""COMPUTED_VALUE"""),"006.990.214-30")</f>
        <v>006.990.214-30</v>
      </c>
      <c r="M241" s="146" t="str">
        <f>IFERROR(__xludf.dummyfunction("""COMPUTED_VALUE"""),"07/08/2025")</f>
        <v>07/08/2025</v>
      </c>
      <c r="N241" s="3"/>
      <c r="O241" s="3" t="str">
        <f>IFERROR(__xludf.dummyfunction("""COMPUTED_VALUE"""),"0")</f>
        <v>0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hidden="1" customHeight="1" spans="1:29">
      <c r="A242" s="3"/>
      <c r="B242" s="3" t="str">
        <f t="array" ref="B242">_xlfn.XLOOKUP(D242,Tabela_Dados_Esc_JAB_2026[INEP],Tabela_Dados_Esc_JAB_2026[REGIONAL],"NE",0)</f>
        <v>REGIONAL 4</v>
      </c>
      <c r="C242" s="4" t="str">
        <f>IFERROR(__xludf.dummyfunction("""COMPUTED_VALUE"""),"CENTRO MUNICIPAL DE EDUCAÇÃO INFANTIL MARCOS FREIRE")</f>
        <v>CENTRO MUNICIPAL DE EDUCAÇÃO INFANTIL MARCOS FREIRE</v>
      </c>
      <c r="D242" s="3" t="str">
        <f>IFERROR(__xludf.dummyfunction("""COMPUTED_VALUE"""),"26156288")</f>
        <v>26156288</v>
      </c>
      <c r="E242" s="3" t="str">
        <f>IFERROR(__xludf.dummyfunction("""COMPUTED_VALUE"""),"INFANTIL 1")</f>
        <v>INFANTIL 1</v>
      </c>
      <c r="F242" s="3" t="str">
        <f>IFERROR(__xludf.dummyfunction("""COMPUTED_VALUE"""),"Integral")</f>
        <v>Integral</v>
      </c>
      <c r="G242" s="3" t="str">
        <f>IFERROR(__xludf.dummyfunction("""COMPUTED_VALUE"""),"Comum")</f>
        <v>Comum</v>
      </c>
      <c r="H242" s="3" t="str">
        <f>IFERROR(__xludf.dummyfunction("""COMPUTED_VALUE"""),"20")</f>
        <v>20</v>
      </c>
      <c r="I242" s="147" t="str">
        <f>IFERROR(__xludf.dummyfunction("""COMPUTED_VALUE"""),"26092543363")</f>
        <v>26092543363</v>
      </c>
      <c r="J242" s="3" t="str">
        <f>IFERROR(__xludf.dummyfunction("""COMPUTED_VALUE"""),"04/09/2026 12:15:39")</f>
        <v>04/09/2026 12:15:39</v>
      </c>
      <c r="K242" s="3" t="str">
        <f>IFERROR(__xludf.dummyfunction("""COMPUTED_VALUE"""),"thales diniz da silva")</f>
        <v>thales diniz da silva</v>
      </c>
      <c r="L242" s="146" t="str">
        <f>IFERROR(__xludf.dummyfunction("""COMPUTED_VALUE"""),"005.613.464-96")</f>
        <v>005.613.464-96</v>
      </c>
      <c r="M242" s="146" t="str">
        <f>IFERROR(__xludf.dummyfunction("""COMPUTED_VALUE"""),"11/03/2025")</f>
        <v>11/03/2025</v>
      </c>
      <c r="N242" s="3"/>
      <c r="O242" s="3" t="str">
        <f>IFERROR(__xludf.dummyfunction("""COMPUTED_VALUE"""),"0")</f>
        <v>0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hidden="1" customHeight="1" spans="1:29">
      <c r="A243" s="3"/>
      <c r="B243" s="3" t="str">
        <f t="array" ref="B243">_xlfn.XLOOKUP(D243,Tabela_Dados_Esc_JAB_2026[INEP],Tabela_Dados_Esc_JAB_2026[REGIONAL],"NE",0)</f>
        <v>REGIONAL 4</v>
      </c>
      <c r="C243" s="4" t="str">
        <f>IFERROR(__xludf.dummyfunction("""COMPUTED_VALUE"""),"CENTRO MUNICIPAL DE EDUCAÇÃO INFANTIL MARCOS FREIRE")</f>
        <v>CENTRO MUNICIPAL DE EDUCAÇÃO INFANTIL MARCOS FREIRE</v>
      </c>
      <c r="D243" s="3" t="str">
        <f>IFERROR(__xludf.dummyfunction("""COMPUTED_VALUE"""),"26156288")</f>
        <v>26156288</v>
      </c>
      <c r="E243" s="3" t="str">
        <f>IFERROR(__xludf.dummyfunction("""COMPUTED_VALUE"""),"INFANTIL 1")</f>
        <v>INFANTIL 1</v>
      </c>
      <c r="F243" s="3" t="str">
        <f>IFERROR(__xludf.dummyfunction("""COMPUTED_VALUE"""),"Integral")</f>
        <v>Integral</v>
      </c>
      <c r="G243" s="3" t="str">
        <f>IFERROR(__xludf.dummyfunction("""COMPUTED_VALUE"""),"Comum")</f>
        <v>Comum</v>
      </c>
      <c r="H243" s="3" t="str">
        <f>IFERROR(__xludf.dummyfunction("""COMPUTED_VALUE"""),"21")</f>
        <v>21</v>
      </c>
      <c r="I243" s="147" t="str">
        <f>IFERROR(__xludf.dummyfunction("""COMPUTED_VALUE"""),"26092957596")</f>
        <v>26092957596</v>
      </c>
      <c r="J243" s="3" t="str">
        <f>IFERROR(__xludf.dummyfunction("""COMPUTED_VALUE"""),"10/09/2026 17:24:43")</f>
        <v>10/09/2026 17:24:43</v>
      </c>
      <c r="K243" s="3" t="str">
        <f>IFERROR(__xludf.dummyfunction("""COMPUTED_VALUE"""),"William Miguel da Silva")</f>
        <v>William Miguel da Silva</v>
      </c>
      <c r="L243" s="146" t="str">
        <f>IFERROR(__xludf.dummyfunction("""COMPUTED_VALUE"""),"114.740.924-20")</f>
        <v>114.740.924-20</v>
      </c>
      <c r="M243" s="146" t="str">
        <f>IFERROR(__xludf.dummyfunction("""COMPUTED_VALUE"""),"18/06/2026")</f>
        <v>18/06/2026</v>
      </c>
      <c r="N243" s="3"/>
      <c r="O243" s="3" t="str">
        <f>IFERROR(__xludf.dummyfunction("""COMPUTED_VALUE"""),"0")</f>
        <v>0</v>
      </c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hidden="1" customHeight="1" spans="1:29">
      <c r="A244" s="3"/>
      <c r="B244" s="3" t="str">
        <f t="array" ref="B244">_xlfn.XLOOKUP(D244,Tabela_Dados_Esc_JAB_2026[INEP],Tabela_Dados_Esc_JAB_2026[REGIONAL],"NE",0)</f>
        <v>REGIONAL 4</v>
      </c>
      <c r="C244" s="4" t="str">
        <f>IFERROR(__xludf.dummyfunction("""COMPUTED_VALUE"""),"CENTRO MUNICIPAL DE EDUCAÇÃO INFANTIL MARCOS FREIRE")</f>
        <v>CENTRO MUNICIPAL DE EDUCAÇÃO INFANTIL MARCOS FREIRE</v>
      </c>
      <c r="D244" s="3" t="str">
        <f>IFERROR(__xludf.dummyfunction("""COMPUTED_VALUE"""),"26156288")</f>
        <v>26156288</v>
      </c>
      <c r="E244" s="3" t="str">
        <f>IFERROR(__xludf.dummyfunction("""COMPUTED_VALUE"""),"INFANTIL 2")</f>
        <v>INFANTIL 2</v>
      </c>
      <c r="F244" s="3" t="str">
        <f>IFERROR(__xludf.dummyfunction("""COMPUTED_VALUE"""),"Integral")</f>
        <v>Integral</v>
      </c>
      <c r="G244" s="3" t="str">
        <f>IFERROR(__xludf.dummyfunction("""COMPUTED_VALUE"""),"Comum")</f>
        <v>Comum</v>
      </c>
      <c r="H244" s="3" t="str">
        <f>IFERROR(__xludf.dummyfunction("""COMPUTED_VALUE"""),"1")</f>
        <v>1</v>
      </c>
      <c r="I244" s="147" t="str">
        <f>IFERROR(__xludf.dummyfunction("""COMPUTED_VALUE"""),"26032326701")</f>
        <v>26032326701</v>
      </c>
      <c r="J244" s="3" t="str">
        <f>IFERROR(__xludf.dummyfunction("""COMPUTED_VALUE"""),"04/03/2026 14:46:15")</f>
        <v>04/03/2026 14:46:15</v>
      </c>
      <c r="K244" s="3" t="str">
        <f>IFERROR(__xludf.dummyfunction("""COMPUTED_VALUE"""),"JOÃO MIGUEL DE LIMA CAVALCANTI")</f>
        <v>JOÃO MIGUEL DE LIMA CAVALCANTI</v>
      </c>
      <c r="L244" s="146" t="str">
        <f>IFERROR(__xludf.dummyfunction("""COMPUTED_VALUE"""),"234.344.727-62")</f>
        <v>234.344.727-62</v>
      </c>
      <c r="M244" s="146" t="str">
        <f>IFERROR(__xludf.dummyfunction("""COMPUTED_VALUE"""),"22/07/2023")</f>
        <v>22/07/2023</v>
      </c>
      <c r="N244" s="3"/>
      <c r="O244" s="3" t="str">
        <f>IFERROR(__xludf.dummyfunction("""COMPUTED_VALUE"""),"0")</f>
        <v>0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hidden="1" customHeight="1" spans="1:29">
      <c r="A245" s="3"/>
      <c r="B245" s="3" t="str">
        <f t="array" ref="B245">_xlfn.XLOOKUP(D245,Tabela_Dados_Esc_JAB_2026[INEP],Tabela_Dados_Esc_JAB_2026[REGIONAL],"NE",0)</f>
        <v>REGIONAL 4</v>
      </c>
      <c r="C245" s="4" t="str">
        <f>IFERROR(__xludf.dummyfunction("""COMPUTED_VALUE"""),"CENTRO MUNICIPAL DE EDUCAÇÃO INFANTIL MARCOS FREIRE")</f>
        <v>CENTRO MUNICIPAL DE EDUCAÇÃO INFANTIL MARCOS FREIRE</v>
      </c>
      <c r="D245" s="3" t="str">
        <f>IFERROR(__xludf.dummyfunction("""COMPUTED_VALUE"""),"26156288")</f>
        <v>26156288</v>
      </c>
      <c r="E245" s="3" t="str">
        <f>IFERROR(__xludf.dummyfunction("""COMPUTED_VALUE"""),"INFANTIL 2")</f>
        <v>INFANTIL 2</v>
      </c>
      <c r="F245" s="3" t="str">
        <f>IFERROR(__xludf.dummyfunction("""COMPUTED_VALUE"""),"Integral")</f>
        <v>Integral</v>
      </c>
      <c r="G245" s="3" t="str">
        <f>IFERROR(__xludf.dummyfunction("""COMPUTED_VALUE"""),"Comum")</f>
        <v>Comum</v>
      </c>
      <c r="H245" s="3" t="str">
        <f>IFERROR(__xludf.dummyfunction("""COMPUTED_VALUE"""),"2")</f>
        <v>2</v>
      </c>
      <c r="I245" s="147" t="str">
        <f>IFERROR(__xludf.dummyfunction("""COMPUTED_VALUE"""),"26032157099")</f>
        <v>26032157099</v>
      </c>
      <c r="J245" s="3" t="str">
        <f>IFERROR(__xludf.dummyfunction("""COMPUTED_VALUE"""),"20/03/2026 08:02:42")</f>
        <v>20/03/2026 08:02:42</v>
      </c>
      <c r="K245" s="3" t="str">
        <f>IFERROR(__xludf.dummyfunction("""COMPUTED_VALUE"""),"DAVI PIETRO DA SILVA BARBOSA")</f>
        <v>DAVI PIETRO DA SILVA BARBOSA</v>
      </c>
      <c r="L245" s="146" t="str">
        <f>IFERROR(__xludf.dummyfunction("""COMPUTED_VALUE"""),"001.594.054-32")</f>
        <v>001.594.054-32</v>
      </c>
      <c r="M245" s="146" t="str">
        <f>IFERROR(__xludf.dummyfunction("""COMPUTED_VALUE"""),"17/01/2024")</f>
        <v>17/01/2024</v>
      </c>
      <c r="N245" s="3"/>
      <c r="O245" s="3" t="str">
        <f>IFERROR(__xludf.dummyfunction("""COMPUTED_VALUE"""),"0")</f>
        <v>0</v>
      </c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hidden="1" customHeight="1" spans="1:29">
      <c r="A246" s="3"/>
      <c r="B246" s="3" t="str">
        <f t="array" ref="B246">_xlfn.XLOOKUP(D246,Tabela_Dados_Esc_JAB_2026[INEP],Tabela_Dados_Esc_JAB_2026[REGIONAL],"NE",0)</f>
        <v>REGIONAL 4</v>
      </c>
      <c r="C246" s="4" t="str">
        <f>IFERROR(__xludf.dummyfunction("""COMPUTED_VALUE"""),"CENTRO MUNICIPAL DE EDUCAÇÃO INFANTIL MARCOS FREIRE")</f>
        <v>CENTRO MUNICIPAL DE EDUCAÇÃO INFANTIL MARCOS FREIRE</v>
      </c>
      <c r="D246" s="3" t="str">
        <f>IFERROR(__xludf.dummyfunction("""COMPUTED_VALUE"""),"26156288")</f>
        <v>26156288</v>
      </c>
      <c r="E246" s="3" t="str">
        <f>IFERROR(__xludf.dummyfunction("""COMPUTED_VALUE"""),"INFANTIL 2")</f>
        <v>INFANTIL 2</v>
      </c>
      <c r="F246" s="3" t="str">
        <f>IFERROR(__xludf.dummyfunction("""COMPUTED_VALUE"""),"Integral")</f>
        <v>Integral</v>
      </c>
      <c r="G246" s="3" t="str">
        <f>IFERROR(__xludf.dummyfunction("""COMPUTED_VALUE"""),"Comum")</f>
        <v>Comum</v>
      </c>
      <c r="H246" s="3" t="str">
        <f>IFERROR(__xludf.dummyfunction("""COMPUTED_VALUE"""),"3")</f>
        <v>3</v>
      </c>
      <c r="I246" s="147" t="str">
        <f>IFERROR(__xludf.dummyfunction("""COMPUTED_VALUE"""),"26032593218")</f>
        <v>26032593218</v>
      </c>
      <c r="J246" s="3" t="str">
        <f>IFERROR(__xludf.dummyfunction("""COMPUTED_VALUE"""),"20/03/2026 23:02:44")</f>
        <v>20/03/2026 23:02:44</v>
      </c>
      <c r="K246" s="3" t="str">
        <f>IFERROR(__xludf.dummyfunction("""COMPUTED_VALUE"""),"LEVI BRYAN DE OLIVEIRA REIS")</f>
        <v>LEVI BRYAN DE OLIVEIRA REIS</v>
      </c>
      <c r="L246" s="146" t="str">
        <f>IFERROR(__xludf.dummyfunction("""COMPUTED_VALUE"""),"002.077.824-40")</f>
        <v>002.077.824-40</v>
      </c>
      <c r="M246" s="146" t="str">
        <f>IFERROR(__xludf.dummyfunction("""COMPUTED_VALUE"""),"22/02/2024")</f>
        <v>22/02/2024</v>
      </c>
      <c r="N246" s="3"/>
      <c r="O246" s="3" t="str">
        <f>IFERROR(__xludf.dummyfunction("""COMPUTED_VALUE"""),"0")</f>
        <v>0</v>
      </c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hidden="1" customHeight="1" spans="1:29">
      <c r="A247" s="3"/>
      <c r="B247" s="3" t="str">
        <f t="array" ref="B247">_xlfn.XLOOKUP(D247,Tabela_Dados_Esc_JAB_2026[INEP],Tabela_Dados_Esc_JAB_2026[REGIONAL],"NE",0)</f>
        <v>REGIONAL 4</v>
      </c>
      <c r="C247" s="4" t="str">
        <f>IFERROR(__xludf.dummyfunction("""COMPUTED_VALUE"""),"CENTRO MUNICIPAL DE EDUCAÇÃO INFANTIL MARCOS FREIRE")</f>
        <v>CENTRO MUNICIPAL DE EDUCAÇÃO INFANTIL MARCOS FREIRE</v>
      </c>
      <c r="D247" s="3" t="str">
        <f>IFERROR(__xludf.dummyfunction("""COMPUTED_VALUE"""),"26156288")</f>
        <v>26156288</v>
      </c>
      <c r="E247" s="3" t="str">
        <f>IFERROR(__xludf.dummyfunction("""COMPUTED_VALUE"""),"INFANTIL 2")</f>
        <v>INFANTIL 2</v>
      </c>
      <c r="F247" s="3" t="str">
        <f>IFERROR(__xludf.dummyfunction("""COMPUTED_VALUE"""),"Integral")</f>
        <v>Integral</v>
      </c>
      <c r="G247" s="3" t="str">
        <f>IFERROR(__xludf.dummyfunction("""COMPUTED_VALUE"""),"Comum")</f>
        <v>Comum</v>
      </c>
      <c r="H247" s="3" t="str">
        <f>IFERROR(__xludf.dummyfunction("""COMPUTED_VALUE"""),"4")</f>
        <v>4</v>
      </c>
      <c r="I247" s="147" t="str">
        <f>IFERROR(__xludf.dummyfunction("""COMPUTED_VALUE"""),"26042036184")</f>
        <v>26042036184</v>
      </c>
      <c r="J247" s="3" t="str">
        <f>IFERROR(__xludf.dummyfunction("""COMPUTED_VALUE"""),"08/04/2026 13:49:21")</f>
        <v>08/04/2026 13:49:21</v>
      </c>
      <c r="K247" s="3" t="str">
        <f>IFERROR(__xludf.dummyfunction("""COMPUTED_VALUE"""),"JORGE MIGUEL DA SILVA NASCIMENTO")</f>
        <v>JORGE MIGUEL DA SILVA NASCIMENTO</v>
      </c>
      <c r="L247" s="146" t="str">
        <f>IFERROR(__xludf.dummyfunction("""COMPUTED_VALUE"""),"186.203.064-21")</f>
        <v>186.203.064-21</v>
      </c>
      <c r="M247" s="146" t="str">
        <f>IFERROR(__xludf.dummyfunction("""COMPUTED_VALUE"""),"23/07/2023")</f>
        <v>23/07/2023</v>
      </c>
      <c r="N247" s="3"/>
      <c r="O247" s="3" t="str">
        <f>IFERROR(__xludf.dummyfunction("""COMPUTED_VALUE"""),"0")</f>
        <v>0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hidden="1" customHeight="1" spans="1:29">
      <c r="A248" s="3"/>
      <c r="B248" s="3" t="str">
        <f t="array" ref="B248">_xlfn.XLOOKUP(D248,Tabela_Dados_Esc_JAB_2026[INEP],Tabela_Dados_Esc_JAB_2026[REGIONAL],"NE",0)</f>
        <v>REGIONAL 4</v>
      </c>
      <c r="C248" s="4" t="str">
        <f>IFERROR(__xludf.dummyfunction("""COMPUTED_VALUE"""),"CENTRO MUNICIPAL DE EDUCAÇÃO INFANTIL MARCOS FREIRE")</f>
        <v>CENTRO MUNICIPAL DE EDUCAÇÃO INFANTIL MARCOS FREIRE</v>
      </c>
      <c r="D248" s="3" t="str">
        <f>IFERROR(__xludf.dummyfunction("""COMPUTED_VALUE"""),"26156288")</f>
        <v>26156288</v>
      </c>
      <c r="E248" s="3" t="str">
        <f>IFERROR(__xludf.dummyfunction("""COMPUTED_VALUE"""),"INFANTIL 2")</f>
        <v>INFANTIL 2</v>
      </c>
      <c r="F248" s="3" t="str">
        <f>IFERROR(__xludf.dummyfunction("""COMPUTED_VALUE"""),"Integral")</f>
        <v>Integral</v>
      </c>
      <c r="G248" s="3" t="str">
        <f>IFERROR(__xludf.dummyfunction("""COMPUTED_VALUE"""),"Comum")</f>
        <v>Comum</v>
      </c>
      <c r="H248" s="3" t="str">
        <f>IFERROR(__xludf.dummyfunction("""COMPUTED_VALUE"""),"5")</f>
        <v>5</v>
      </c>
      <c r="I248" s="147" t="str">
        <f>IFERROR(__xludf.dummyfunction("""COMPUTED_VALUE"""),"26072908926")</f>
        <v>26072908926</v>
      </c>
      <c r="J248" s="3" t="str">
        <f>IFERROR(__xludf.dummyfunction("""COMPUTED_VALUE"""),"21/07/2026 12:18:22")</f>
        <v>21/07/2026 12:18:22</v>
      </c>
      <c r="K248" s="3" t="str">
        <f>IFERROR(__xludf.dummyfunction("""COMPUTED_VALUE"""),"Liam Davi Luiz Barbosa")</f>
        <v>Liam Davi Luiz Barbosa</v>
      </c>
      <c r="L248" s="146" t="str">
        <f>IFERROR(__xludf.dummyfunction("""COMPUTED_VALUE"""),"001.353.824-16")</f>
        <v>001.353.824-16</v>
      </c>
      <c r="M248" s="146" t="str">
        <f>IFERROR(__xludf.dummyfunction("""COMPUTED_VALUE"""),"15/12/2023")</f>
        <v>15/12/2023</v>
      </c>
      <c r="N248" s="3"/>
      <c r="O248" s="3" t="str">
        <f>IFERROR(__xludf.dummyfunction("""COMPUTED_VALUE"""),"0")</f>
        <v>0</v>
      </c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hidden="1" customHeight="1" spans="1:29">
      <c r="A249" s="3"/>
      <c r="B249" s="3" t="str">
        <f t="array" ref="B249">_xlfn.XLOOKUP(D249,Tabela_Dados_Esc_JAB_2026[INEP],Tabela_Dados_Esc_JAB_2026[REGIONAL],"NE",0)</f>
        <v>REGIONAL 4</v>
      </c>
      <c r="C249" s="4" t="str">
        <f>IFERROR(__xludf.dummyfunction("""COMPUTED_VALUE"""),"CENTRO MUNICIPAL DE EDUCAÇÃO INFANTIL MARCOS FREIRE")</f>
        <v>CENTRO MUNICIPAL DE EDUCAÇÃO INFANTIL MARCOS FREIRE</v>
      </c>
      <c r="D249" s="3" t="str">
        <f>IFERROR(__xludf.dummyfunction("""COMPUTED_VALUE"""),"26156288")</f>
        <v>26156288</v>
      </c>
      <c r="E249" s="3" t="str">
        <f>IFERROR(__xludf.dummyfunction("""COMPUTED_VALUE"""),"INFANTIL 2")</f>
        <v>INFANTIL 2</v>
      </c>
      <c r="F249" s="3" t="str">
        <f>IFERROR(__xludf.dummyfunction("""COMPUTED_VALUE"""),"Integral")</f>
        <v>Integral</v>
      </c>
      <c r="G249" s="3" t="str">
        <f>IFERROR(__xludf.dummyfunction("""COMPUTED_VALUE"""),"Comum")</f>
        <v>Comum</v>
      </c>
      <c r="H249" s="3" t="str">
        <f>IFERROR(__xludf.dummyfunction("""COMPUTED_VALUE"""),"6")</f>
        <v>6</v>
      </c>
      <c r="I249" s="147" t="str">
        <f>IFERROR(__xludf.dummyfunction("""COMPUTED_VALUE"""),"26082462906")</f>
        <v>26082462906</v>
      </c>
      <c r="J249" s="3" t="str">
        <f>IFERROR(__xludf.dummyfunction("""COMPUTED_VALUE"""),"05/08/2026 08:49:31")</f>
        <v>05/08/2026 08:49:31</v>
      </c>
      <c r="K249" s="3" t="str">
        <f>IFERROR(__xludf.dummyfunction("""COMPUTED_VALUE"""),"davi arthur pompeu dos santos")</f>
        <v>davi arthur pompeu dos santos</v>
      </c>
      <c r="L249" s="146" t="str">
        <f>IFERROR(__xludf.dummyfunction("""COMPUTED_VALUE"""),"001.835.694-07")</f>
        <v>001.835.694-07</v>
      </c>
      <c r="M249" s="146" t="str">
        <f>IFERROR(__xludf.dummyfunction("""COMPUTED_VALUE"""),"19/01/2024")</f>
        <v>19/01/2024</v>
      </c>
      <c r="N249" s="3"/>
      <c r="O249" s="3" t="str">
        <f>IFERROR(__xludf.dummyfunction("""COMPUTED_VALUE"""),"0")</f>
        <v>0</v>
      </c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hidden="1" customHeight="1" spans="1:29">
      <c r="A250" s="3"/>
      <c r="B250" s="3" t="str">
        <f t="array" ref="B250">_xlfn.XLOOKUP(D250,Tabela_Dados_Esc_JAB_2026[INEP],Tabela_Dados_Esc_JAB_2026[REGIONAL],"NE",0)</f>
        <v>REGIONAL 4</v>
      </c>
      <c r="C250" s="4" t="str">
        <f>IFERROR(__xludf.dummyfunction("""COMPUTED_VALUE"""),"CENTRO MUNICIPAL DE EDUCAÇÃO INFANTIL MARCOS FREIRE")</f>
        <v>CENTRO MUNICIPAL DE EDUCAÇÃO INFANTIL MARCOS FREIRE</v>
      </c>
      <c r="D250" s="3" t="str">
        <f>IFERROR(__xludf.dummyfunction("""COMPUTED_VALUE"""),"26156288")</f>
        <v>26156288</v>
      </c>
      <c r="E250" s="3" t="str">
        <f>IFERROR(__xludf.dummyfunction("""COMPUTED_VALUE"""),"INFANTIL 3")</f>
        <v>INFANTIL 3</v>
      </c>
      <c r="F250" s="3" t="str">
        <f>IFERROR(__xludf.dummyfunction("""COMPUTED_VALUE"""),"Integral")</f>
        <v>Integral</v>
      </c>
      <c r="G250" s="3" t="str">
        <f>IFERROR(__xludf.dummyfunction("""COMPUTED_VALUE"""),"Comum")</f>
        <v>Comum</v>
      </c>
      <c r="H250" s="3" t="str">
        <f>IFERROR(__xludf.dummyfunction("""COMPUTED_VALUE"""),"1")</f>
        <v>1</v>
      </c>
      <c r="I250" s="147" t="str">
        <f>IFERROR(__xludf.dummyfunction("""COMPUTED_VALUE"""),"26082852109")</f>
        <v>26082852109</v>
      </c>
      <c r="J250" s="3" t="str">
        <f>IFERROR(__xludf.dummyfunction("""COMPUTED_VALUE"""),"05/08/2026 15:34:59")</f>
        <v>05/08/2026 15:34:59</v>
      </c>
      <c r="K250" s="3" t="str">
        <f>IFERROR(__xludf.dummyfunction("""COMPUTED_VALUE"""),"MAYA CAMILLY SOARES DA SILVA")</f>
        <v>MAYA CAMILLY SOARES DA SILVA</v>
      </c>
      <c r="L250" s="146" t="str">
        <f>IFERROR(__xludf.dummyfunction("""COMPUTED_VALUE"""),"185.094.154-80")</f>
        <v>185.094.154-80</v>
      </c>
      <c r="M250" s="146" t="str">
        <f>IFERROR(__xludf.dummyfunction("""COMPUTED_VALUE"""),"09/02/2023")</f>
        <v>09/02/2023</v>
      </c>
      <c r="N250" s="3"/>
      <c r="O250" s="3" t="str">
        <f>IFERROR(__xludf.dummyfunction("""COMPUTED_VALUE"""),"0")</f>
        <v>0</v>
      </c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hidden="1" customHeight="1" spans="1:29">
      <c r="A251" s="3"/>
      <c r="B251" s="3" t="str">
        <f t="array" ref="B251">_xlfn.XLOOKUP(D251,Tabela_Dados_Esc_JAB_2026[INEP],Tabela_Dados_Esc_JAB_2026[REGIONAL],"NE",0)</f>
        <v>REGIONAL 4</v>
      </c>
      <c r="C251" s="4" t="str">
        <f>IFERROR(__xludf.dummyfunction("""COMPUTED_VALUE"""),"CENTRO MUNICIPAL DE EDUCAÇÃO INFANTIL MARCOS FREIRE")</f>
        <v>CENTRO MUNICIPAL DE EDUCAÇÃO INFANTIL MARCOS FREIRE</v>
      </c>
      <c r="D251" s="3" t="str">
        <f>IFERROR(__xludf.dummyfunction("""COMPUTED_VALUE"""),"26156288")</f>
        <v>26156288</v>
      </c>
      <c r="E251" s="3" t="str">
        <f>IFERROR(__xludf.dummyfunction("""COMPUTED_VALUE"""),"INFANTIL 4")</f>
        <v>INFANTIL 4</v>
      </c>
      <c r="F251" s="3" t="str">
        <f>IFERROR(__xludf.dummyfunction("""COMPUTED_VALUE"""),"Matutino/Manhã")</f>
        <v>Matutino/Manhã</v>
      </c>
      <c r="G251" s="3" t="str">
        <f>IFERROR(__xludf.dummyfunction("""COMPUTED_VALUE"""),"Comum")</f>
        <v>Comum</v>
      </c>
      <c r="H251" s="3" t="str">
        <f>IFERROR(__xludf.dummyfunction("""COMPUTED_VALUE"""),"1")</f>
        <v>1</v>
      </c>
      <c r="I251" s="147" t="str">
        <f>IFERROR(__xludf.dummyfunction("""COMPUTED_VALUE"""),"26062771704")</f>
        <v>26062771704</v>
      </c>
      <c r="J251" s="3" t="str">
        <f>IFERROR(__xludf.dummyfunction("""COMPUTED_VALUE"""),"12/06/2026 11:07:22")</f>
        <v>12/06/2026 11:07:22</v>
      </c>
      <c r="K251" s="3" t="str">
        <f>IFERROR(__xludf.dummyfunction("""COMPUTED_VALUE"""),"SHEFORA RAABE DOS SANTOS NASCIMENTO")</f>
        <v>SHEFORA RAABE DOS SANTOS NASCIMENTO</v>
      </c>
      <c r="L251" s="146" t="str">
        <f>IFERROR(__xludf.dummyfunction("""COMPUTED_VALUE"""),"177.992.424-00")</f>
        <v>177.992.424-00</v>
      </c>
      <c r="M251" s="146" t="str">
        <f>IFERROR(__xludf.dummyfunction("""COMPUTED_VALUE"""),"19/08/2021")</f>
        <v>19/08/2021</v>
      </c>
      <c r="N251" s="3"/>
      <c r="O251" s="3" t="str">
        <f>IFERROR(__xludf.dummyfunction("""COMPUTED_VALUE"""),"0")</f>
        <v>0</v>
      </c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hidden="1" customHeight="1" spans="1:29">
      <c r="A252" s="3"/>
      <c r="B252" s="3" t="str">
        <f t="array" ref="B252">_xlfn.XLOOKUP(D252,Tabela_Dados_Esc_JAB_2026[INEP],Tabela_Dados_Esc_JAB_2026[REGIONAL],"NE",0)</f>
        <v>REGIONAL 4</v>
      </c>
      <c r="C252" s="4" t="str">
        <f>IFERROR(__xludf.dummyfunction("""COMPUTED_VALUE"""),"CENTRO MUNICIPAL DE EDUCAÇÃO INFANTIL MARCOS FREIRE")</f>
        <v>CENTRO MUNICIPAL DE EDUCAÇÃO INFANTIL MARCOS FREIRE</v>
      </c>
      <c r="D252" s="3" t="str">
        <f>IFERROR(__xludf.dummyfunction("""COMPUTED_VALUE"""),"26156288")</f>
        <v>26156288</v>
      </c>
      <c r="E252" s="3" t="str">
        <f>IFERROR(__xludf.dummyfunction("""COMPUTED_VALUE"""),"INFANTIL 4")</f>
        <v>INFANTIL 4</v>
      </c>
      <c r="F252" s="3" t="str">
        <f>IFERROR(__xludf.dummyfunction("""COMPUTED_VALUE"""),"Matutino/Manhã")</f>
        <v>Matutino/Manhã</v>
      </c>
      <c r="G252" s="3" t="str">
        <f>IFERROR(__xludf.dummyfunction("""COMPUTED_VALUE"""),"Comum")</f>
        <v>Comum</v>
      </c>
      <c r="H252" s="3" t="str">
        <f>IFERROR(__xludf.dummyfunction("""COMPUTED_VALUE"""),"2")</f>
        <v>2</v>
      </c>
      <c r="I252" s="147" t="str">
        <f>IFERROR(__xludf.dummyfunction("""COMPUTED_VALUE"""),"26082777318")</f>
        <v>26082777318</v>
      </c>
      <c r="J252" s="3" t="str">
        <f>IFERROR(__xludf.dummyfunction("""COMPUTED_VALUE"""),"10/08/2026 12:32:53")</f>
        <v>10/08/2026 12:32:53</v>
      </c>
      <c r="K252" s="3" t="str">
        <f>IFERROR(__xludf.dummyfunction("""COMPUTED_VALUE"""),"Bernardo Miguel Cristóvão de Araújo")</f>
        <v>Bernardo Miguel Cristóvão de Araújo</v>
      </c>
      <c r="L252" s="146" t="str">
        <f>IFERROR(__xludf.dummyfunction("""COMPUTED_VALUE"""),"180.773.684-92")</f>
        <v>180.773.684-92</v>
      </c>
      <c r="M252" s="146" t="str">
        <f>IFERROR(__xludf.dummyfunction("""COMPUTED_VALUE"""),"07/03/2022")</f>
        <v>07/03/2022</v>
      </c>
      <c r="N252" s="3"/>
      <c r="O252" s="3" t="str">
        <f>IFERROR(__xludf.dummyfunction("""COMPUTED_VALUE"""),"0")</f>
        <v>0</v>
      </c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hidden="1" customHeight="1" spans="1:29">
      <c r="A253" s="3"/>
      <c r="B253" s="3" t="str">
        <f t="array" ref="B253">_xlfn.XLOOKUP(D253,Tabela_Dados_Esc_JAB_2026[INEP],Tabela_Dados_Esc_JAB_2026[REGIONAL],"NE",0)</f>
        <v>REGIONAL 4</v>
      </c>
      <c r="C253" s="4" t="str">
        <f>IFERROR(__xludf.dummyfunction("""COMPUTED_VALUE"""),"CENTRO MUNICIPAL DE EDUCAÇÃO INFANTIL MARCOS FREIRE")</f>
        <v>CENTRO MUNICIPAL DE EDUCAÇÃO INFANTIL MARCOS FREIRE</v>
      </c>
      <c r="D253" s="3" t="str">
        <f>IFERROR(__xludf.dummyfunction("""COMPUTED_VALUE"""),"26156288")</f>
        <v>26156288</v>
      </c>
      <c r="E253" s="3" t="str">
        <f>IFERROR(__xludf.dummyfunction("""COMPUTED_VALUE"""),"INFANTIL 4")</f>
        <v>INFANTIL 4</v>
      </c>
      <c r="F253" s="3" t="str">
        <f>IFERROR(__xludf.dummyfunction("""COMPUTED_VALUE"""),"Vespertino/Tarde")</f>
        <v>Vespertino/Tarde</v>
      </c>
      <c r="G253" s="3" t="str">
        <f>IFERROR(__xludf.dummyfunction("""COMPUTED_VALUE"""),"Comum")</f>
        <v>Comum</v>
      </c>
      <c r="H253" s="3" t="str">
        <f>IFERROR(__xludf.dummyfunction("""COMPUTED_VALUE"""),"1")</f>
        <v>1</v>
      </c>
      <c r="I253" s="147" t="str">
        <f>IFERROR(__xludf.dummyfunction("""COMPUTED_VALUE"""),"26052026820")</f>
        <v>26052026820</v>
      </c>
      <c r="J253" s="3" t="str">
        <f>IFERROR(__xludf.dummyfunction("""COMPUTED_VALUE"""),"14/05/2026 11:23:24")</f>
        <v>14/05/2026 11:23:24</v>
      </c>
      <c r="K253" s="3" t="str">
        <f>IFERROR(__xludf.dummyfunction("""COMPUTED_VALUE"""),"MATHIAS RIQUELME BARBOSA VIDAL SOARES DA SILVA")</f>
        <v>MATHIAS RIQUELME BARBOSA VIDAL SOARES DA SILVA</v>
      </c>
      <c r="L253" s="146" t="str">
        <f>IFERROR(__xludf.dummyfunction("""COMPUTED_VALUE"""),"180.988.804-27")</f>
        <v>180.988.804-27</v>
      </c>
      <c r="M253" s="146" t="str">
        <f>IFERROR(__xludf.dummyfunction("""COMPUTED_VALUE"""),"25/03/2022")</f>
        <v>25/03/2022</v>
      </c>
      <c r="N253" s="3"/>
      <c r="O253" s="3" t="str">
        <f>IFERROR(__xludf.dummyfunction("""COMPUTED_VALUE"""),"0")</f>
        <v>0</v>
      </c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hidden="1" customHeight="1" spans="1:29">
      <c r="A254" s="3"/>
      <c r="B254" s="3" t="str">
        <f t="array" ref="B254">_xlfn.XLOOKUP(D254,Tabela_Dados_Esc_JAB_2026[INEP],Tabela_Dados_Esc_JAB_2026[REGIONAL],"NE",0)</f>
        <v>REGIONAL 4</v>
      </c>
      <c r="C254" s="4" t="str">
        <f>IFERROR(__xludf.dummyfunction("""COMPUTED_VALUE"""),"CENTRO MUNICIPAL DE EDUCAÇÃO INFANTIL MARCOS FREIRE")</f>
        <v>CENTRO MUNICIPAL DE EDUCAÇÃO INFANTIL MARCOS FREIRE</v>
      </c>
      <c r="D254" s="3" t="str">
        <f>IFERROR(__xludf.dummyfunction("""COMPUTED_VALUE"""),"26156288")</f>
        <v>26156288</v>
      </c>
      <c r="E254" s="3" t="str">
        <f>IFERROR(__xludf.dummyfunction("""COMPUTED_VALUE"""),"INFANTIL 4")</f>
        <v>INFANTIL 4</v>
      </c>
      <c r="F254" s="3" t="str">
        <f>IFERROR(__xludf.dummyfunction("""COMPUTED_VALUE"""),"Vespertino/Tarde")</f>
        <v>Vespertino/Tarde</v>
      </c>
      <c r="G254" s="3" t="str">
        <f>IFERROR(__xludf.dummyfunction("""COMPUTED_VALUE"""),"Comum")</f>
        <v>Comum</v>
      </c>
      <c r="H254" s="3" t="str">
        <f>IFERROR(__xludf.dummyfunction("""COMPUTED_VALUE"""),"2")</f>
        <v>2</v>
      </c>
      <c r="I254" s="147" t="str">
        <f>IFERROR(__xludf.dummyfunction("""COMPUTED_VALUE"""),"26072558357")</f>
        <v>26072558357</v>
      </c>
      <c r="J254" s="3" t="str">
        <f>IFERROR(__xludf.dummyfunction("""COMPUTED_VALUE"""),"17/07/2026 10:56:57")</f>
        <v>17/07/2026 10:56:57</v>
      </c>
      <c r="K254" s="3" t="str">
        <f>IFERROR(__xludf.dummyfunction("""COMPUTED_VALUE"""),"heytor henrioque rodrigues dos santos")</f>
        <v>heytor henrioque rodrigues dos santos</v>
      </c>
      <c r="L254" s="146" t="str">
        <f>IFERROR(__xludf.dummyfunction("""COMPUTED_VALUE"""),"179.583.414-58")</f>
        <v>179.583.414-58</v>
      </c>
      <c r="M254" s="146" t="str">
        <f>IFERROR(__xludf.dummyfunction("""COMPUTED_VALUE"""),"17/10/2021")</f>
        <v>17/10/2021</v>
      </c>
      <c r="N254" s="3"/>
      <c r="O254" s="3" t="str">
        <f>IFERROR(__xludf.dummyfunction("""COMPUTED_VALUE"""),"0")</f>
        <v>0</v>
      </c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hidden="1" customHeight="1" spans="1:29">
      <c r="A255" s="3"/>
      <c r="B255" s="3" t="str">
        <f t="array" ref="B255">_xlfn.XLOOKUP(D255,Tabela_Dados_Esc_JAB_2026[INEP],Tabela_Dados_Esc_JAB_2026[REGIONAL],"NE",0)</f>
        <v>REGIONAL 4</v>
      </c>
      <c r="C255" s="4" t="str">
        <f>IFERROR(__xludf.dummyfunction("""COMPUTED_VALUE"""),"CENTRO MUNICIPAL DE EDUCAÇÃO INFANTIL MARCOS FREIRE")</f>
        <v>CENTRO MUNICIPAL DE EDUCAÇÃO INFANTIL MARCOS FREIRE</v>
      </c>
      <c r="D255" s="3" t="str">
        <f>IFERROR(__xludf.dummyfunction("""COMPUTED_VALUE"""),"26156288")</f>
        <v>26156288</v>
      </c>
      <c r="E255" s="3" t="str">
        <f>IFERROR(__xludf.dummyfunction("""COMPUTED_VALUE"""),"INFANTIL 4")</f>
        <v>INFANTIL 4</v>
      </c>
      <c r="F255" s="3" t="str">
        <f>IFERROR(__xludf.dummyfunction("""COMPUTED_VALUE"""),"Vespertino/Tarde")</f>
        <v>Vespertino/Tarde</v>
      </c>
      <c r="G255" s="3" t="str">
        <f>IFERROR(__xludf.dummyfunction("""COMPUTED_VALUE"""),"Comum")</f>
        <v>Comum</v>
      </c>
      <c r="H255" s="3" t="str">
        <f>IFERROR(__xludf.dummyfunction("""COMPUTED_VALUE"""),"3")</f>
        <v>3</v>
      </c>
      <c r="I255" s="147" t="str">
        <f>IFERROR(__xludf.dummyfunction("""COMPUTED_VALUE"""),"26072744277")</f>
        <v>26072744277</v>
      </c>
      <c r="J255" s="3" t="str">
        <f>IFERROR(__xludf.dummyfunction("""COMPUTED_VALUE"""),"24/07/2026 10:39:39")</f>
        <v>24/07/2026 10:39:39</v>
      </c>
      <c r="K255" s="3" t="str">
        <f>IFERROR(__xludf.dummyfunction("""COMPUTED_VALUE"""),"carla isabella freire da silva")</f>
        <v>carla isabella freire da silva</v>
      </c>
      <c r="L255" s="146" t="str">
        <f>IFERROR(__xludf.dummyfunction("""COMPUTED_VALUE"""),"178.909.364-35")</f>
        <v>178.909.364-35</v>
      </c>
      <c r="M255" s="146" t="str">
        <f>IFERROR(__xludf.dummyfunction("""COMPUTED_VALUE"""),"22/09/2021")</f>
        <v>22/09/2021</v>
      </c>
      <c r="N255" s="3"/>
      <c r="O255" s="3" t="str">
        <f>IFERROR(__xludf.dummyfunction("""COMPUTED_VALUE"""),"0")</f>
        <v>0</v>
      </c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hidden="1" customHeight="1" spans="1:29">
      <c r="A256" s="3"/>
      <c r="B256" s="3" t="str">
        <f t="array" ref="B256">_xlfn.XLOOKUP(D256,Tabela_Dados_Esc_JAB_2026[INEP],Tabela_Dados_Esc_JAB_2026[REGIONAL],"NE",0)</f>
        <v>REGIONAL 4</v>
      </c>
      <c r="C256" s="4" t="str">
        <f>IFERROR(__xludf.dummyfunction("""COMPUTED_VALUE"""),"CENTRO MUNICIPAL DE EDUCAÇÃO INFANTIL MARCOS FREIRE")</f>
        <v>CENTRO MUNICIPAL DE EDUCAÇÃO INFANTIL MARCOS FREIRE</v>
      </c>
      <c r="D256" s="3" t="str">
        <f>IFERROR(__xludf.dummyfunction("""COMPUTED_VALUE"""),"26156288")</f>
        <v>26156288</v>
      </c>
      <c r="E256" s="3" t="str">
        <f>IFERROR(__xludf.dummyfunction("""COMPUTED_VALUE"""),"INFANTIL 5")</f>
        <v>INFANTIL 5</v>
      </c>
      <c r="F256" s="3" t="str">
        <f>IFERROR(__xludf.dummyfunction("""COMPUTED_VALUE"""),"Matutino/Manhã")</f>
        <v>Matutino/Manhã</v>
      </c>
      <c r="G256" s="3" t="str">
        <f>IFERROR(__xludf.dummyfunction("""COMPUTED_VALUE"""),"Comum")</f>
        <v>Comum</v>
      </c>
      <c r="H256" s="3" t="str">
        <f>IFERROR(__xludf.dummyfunction("""COMPUTED_VALUE"""),"1")</f>
        <v>1</v>
      </c>
      <c r="I256" s="147" t="str">
        <f>IFERROR(__xludf.dummyfunction("""COMPUTED_VALUE"""),"26062673674")</f>
        <v>26062673674</v>
      </c>
      <c r="J256" s="3" t="str">
        <f>IFERROR(__xludf.dummyfunction("""COMPUTED_VALUE"""),"17/06/2026 07:49:41")</f>
        <v>17/06/2026 07:49:41</v>
      </c>
      <c r="K256" s="3" t="str">
        <f>IFERROR(__xludf.dummyfunction("""COMPUTED_VALUE"""),"Heloise Gomes de araujo")</f>
        <v>Heloise Gomes de araujo</v>
      </c>
      <c r="L256" s="146" t="str">
        <f>IFERROR(__xludf.dummyfunction("""COMPUTED_VALUE"""),"171.806.184-62")</f>
        <v>171.806.184-62</v>
      </c>
      <c r="M256" s="146" t="str">
        <f>IFERROR(__xludf.dummyfunction("""COMPUTED_VALUE"""),"11/05/2020")</f>
        <v>11/05/2020</v>
      </c>
      <c r="N256" s="3"/>
      <c r="O256" s="3" t="str">
        <f>IFERROR(__xludf.dummyfunction("""COMPUTED_VALUE"""),"0")</f>
        <v>0</v>
      </c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hidden="1" customHeight="1" spans="1:29">
      <c r="A257" s="3"/>
      <c r="B257" s="3" t="str">
        <f t="array" ref="B257">_xlfn.XLOOKUP(D257,Tabela_Dados_Esc_JAB_2026[INEP],Tabela_Dados_Esc_JAB_2026[REGIONAL],"NE",0)</f>
        <v>REGIONAL 4</v>
      </c>
      <c r="C257" s="4" t="str">
        <f>IFERROR(__xludf.dummyfunction("""COMPUTED_VALUE"""),"CENTRO MUNICIPAL DE EDUCAÇÃO INFANTIL MARCOS FREIRE")</f>
        <v>CENTRO MUNICIPAL DE EDUCAÇÃO INFANTIL MARCOS FREIRE</v>
      </c>
      <c r="D257" s="3" t="str">
        <f>IFERROR(__xludf.dummyfunction("""COMPUTED_VALUE"""),"26156288")</f>
        <v>26156288</v>
      </c>
      <c r="E257" s="3" t="str">
        <f>IFERROR(__xludf.dummyfunction("""COMPUTED_VALUE"""),"INFANTIL 5")</f>
        <v>INFANTIL 5</v>
      </c>
      <c r="F257" s="3" t="str">
        <f>IFERROR(__xludf.dummyfunction("""COMPUTED_VALUE"""),"Vespertino/Tarde")</f>
        <v>Vespertino/Tarde</v>
      </c>
      <c r="G257" s="3" t="str">
        <f>IFERROR(__xludf.dummyfunction("""COMPUTED_VALUE"""),"Comum")</f>
        <v>Comum</v>
      </c>
      <c r="H257" s="3" t="str">
        <f>IFERROR(__xludf.dummyfunction("""COMPUTED_VALUE"""),"1")</f>
        <v>1</v>
      </c>
      <c r="I257" s="147" t="str">
        <f>IFERROR(__xludf.dummyfunction("""COMPUTED_VALUE"""),"26032121073")</f>
        <v>26032121073</v>
      </c>
      <c r="J257" s="3" t="str">
        <f>IFERROR(__xludf.dummyfunction("""COMPUTED_VALUE"""),"23/03/2026 08:54:29")</f>
        <v>23/03/2026 08:54:29</v>
      </c>
      <c r="K257" s="3" t="str">
        <f>IFERROR(__xludf.dummyfunction("""COMPUTED_VALUE"""),"BRAYAN GABRIEL DA SILVA FALCÃO")</f>
        <v>BRAYAN GABRIEL DA SILVA FALCÃO</v>
      </c>
      <c r="L257" s="146" t="str">
        <f>IFERROR(__xludf.dummyfunction("""COMPUTED_VALUE"""),"179.040.614-57")</f>
        <v>179.040.614-57</v>
      </c>
      <c r="M257" s="146" t="str">
        <f>IFERROR(__xludf.dummyfunction("""COMPUTED_VALUE"""),"17/10/2020")</f>
        <v>17/10/2020</v>
      </c>
      <c r="N257" s="3"/>
      <c r="O257" s="3" t="str">
        <f>IFERROR(__xludf.dummyfunction("""COMPUTED_VALUE"""),"0")</f>
        <v>0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hidden="1" customHeight="1" spans="1:29">
      <c r="A258" s="3"/>
      <c r="B258" s="3" t="str">
        <f t="array" ref="B258">_xlfn.XLOOKUP(D258,Tabela_Dados_Esc_JAB_2026[INEP],Tabela_Dados_Esc_JAB_2026[REGIONAL],"NE",0)</f>
        <v>REGIONAL 4</v>
      </c>
      <c r="C258" s="4" t="str">
        <f>IFERROR(__xludf.dummyfunction("""COMPUTED_VALUE"""),"CENTRO MUNICIPAL DE EDUCAÇÃO INFANTIL MARCOS FREIRE")</f>
        <v>CENTRO MUNICIPAL DE EDUCAÇÃO INFANTIL MARCOS FREIRE</v>
      </c>
      <c r="D258" s="3" t="str">
        <f>IFERROR(__xludf.dummyfunction("""COMPUTED_VALUE"""),"26156288")</f>
        <v>26156288</v>
      </c>
      <c r="E258" s="3" t="str">
        <f>IFERROR(__xludf.dummyfunction("""COMPUTED_VALUE"""),"INFANTIL 5")</f>
        <v>INFANTIL 5</v>
      </c>
      <c r="F258" s="3" t="str">
        <f>IFERROR(__xludf.dummyfunction("""COMPUTED_VALUE"""),"Vespertino/Tarde")</f>
        <v>Vespertino/Tarde</v>
      </c>
      <c r="G258" s="3" t="str">
        <f>IFERROR(__xludf.dummyfunction("""COMPUTED_VALUE"""),"Comum")</f>
        <v>Comum</v>
      </c>
      <c r="H258" s="3" t="str">
        <f>IFERROR(__xludf.dummyfunction("""COMPUTED_VALUE"""),"2")</f>
        <v>2</v>
      </c>
      <c r="I258" s="147" t="str">
        <f>IFERROR(__xludf.dummyfunction("""COMPUTED_VALUE"""),"26052140691")</f>
        <v>26052140691</v>
      </c>
      <c r="J258" s="3" t="str">
        <f>IFERROR(__xludf.dummyfunction("""COMPUTED_VALUE"""),"18/05/2026 10:51:50")</f>
        <v>18/05/2026 10:51:50</v>
      </c>
      <c r="K258" s="3" t="str">
        <f>IFERROR(__xludf.dummyfunction("""COMPUTED_VALUE"""),"ALLYSON MIGUEL DA SILVA RAMOS")</f>
        <v>ALLYSON MIGUEL DA SILVA RAMOS</v>
      </c>
      <c r="L258" s="146" t="str">
        <f>IFERROR(__xludf.dummyfunction("""COMPUTED_VALUE"""),"175.737.404-33")</f>
        <v>175.737.404-33</v>
      </c>
      <c r="M258" s="146" t="str">
        <f>IFERROR(__xludf.dummyfunction("""COMPUTED_VALUE"""),"25/12/2020")</f>
        <v>25/12/2020</v>
      </c>
      <c r="N258" s="3"/>
      <c r="O258" s="3" t="str">
        <f>IFERROR(__xludf.dummyfunction("""COMPUTED_VALUE"""),"0")</f>
        <v>0</v>
      </c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hidden="1" customHeight="1" spans="1:29">
      <c r="A259" s="3"/>
      <c r="B259" s="3" t="str">
        <f t="array" ref="B259">_xlfn.XLOOKUP(D259,Tabela_Dados_Esc_JAB_2026[INEP],Tabela_Dados_Esc_JAB_2026[REGIONAL],"NE",0)</f>
        <v>REGIONAL 4</v>
      </c>
      <c r="C259" s="4" t="str">
        <f>IFERROR(__xludf.dummyfunction("""COMPUTED_VALUE"""),"CENTRO MUNICIPAL DE EDUCAÇÃO INFANTIL MARCOS FREIRE")</f>
        <v>CENTRO MUNICIPAL DE EDUCAÇÃO INFANTIL MARCOS FREIRE</v>
      </c>
      <c r="D259" s="3" t="str">
        <f>IFERROR(__xludf.dummyfunction("""COMPUTED_VALUE"""),"26156288")</f>
        <v>26156288</v>
      </c>
      <c r="E259" s="3" t="str">
        <f>IFERROR(__xludf.dummyfunction("""COMPUTED_VALUE"""),"INFANTIL 5")</f>
        <v>INFANTIL 5</v>
      </c>
      <c r="F259" s="3" t="str">
        <f>IFERROR(__xludf.dummyfunction("""COMPUTED_VALUE"""),"Vespertino/Tarde")</f>
        <v>Vespertino/Tarde</v>
      </c>
      <c r="G259" s="3" t="str">
        <f>IFERROR(__xludf.dummyfunction("""COMPUTED_VALUE"""),"Comum")</f>
        <v>Comum</v>
      </c>
      <c r="H259" s="3" t="str">
        <f>IFERROR(__xludf.dummyfunction("""COMPUTED_VALUE"""),"3")</f>
        <v>3</v>
      </c>
      <c r="I259" s="147" t="str">
        <f>IFERROR(__xludf.dummyfunction("""COMPUTED_VALUE"""),"26062112546")</f>
        <v>26062112546</v>
      </c>
      <c r="J259" s="3" t="str">
        <f>IFERROR(__xludf.dummyfunction("""COMPUTED_VALUE"""),"05/06/2026 13:22:34")</f>
        <v>05/06/2026 13:22:34</v>
      </c>
      <c r="K259" s="3" t="str">
        <f>IFERROR(__xludf.dummyfunction("""COMPUTED_VALUE"""),"PEDRO HENRIQUE LIMA DA SILVA")</f>
        <v>PEDRO HENRIQUE LIMA DA SILVA</v>
      </c>
      <c r="L259" s="146" t="str">
        <f>IFERROR(__xludf.dummyfunction("""COMPUTED_VALUE"""),"175.884.704-29")</f>
        <v>175.884.704-29</v>
      </c>
      <c r="M259" s="146" t="str">
        <f>IFERROR(__xludf.dummyfunction("""COMPUTED_VALUE"""),"28/01/2021")</f>
        <v>28/01/2021</v>
      </c>
      <c r="N259" s="3"/>
      <c r="O259" s="3" t="str">
        <f>IFERROR(__xludf.dummyfunction("""COMPUTED_VALUE"""),"0")</f>
        <v>0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hidden="1" customHeight="1" spans="1:29">
      <c r="A260" s="3"/>
      <c r="B260" s="3" t="str">
        <f t="array" ref="B260">_xlfn.XLOOKUP(D260,Tabela_Dados_Esc_JAB_2026[INEP],Tabela_Dados_Esc_JAB_2026[REGIONAL],"NE",0)</f>
        <v>REGIONAL 4</v>
      </c>
      <c r="C260" s="4" t="str">
        <f>IFERROR(__xludf.dummyfunction("""COMPUTED_VALUE"""),"CENTRO MUNICIPAL DE EDUCAÇÃO INFANTIL MARCOS FREIRE")</f>
        <v>CENTRO MUNICIPAL DE EDUCAÇÃO INFANTIL MARCOS FREIRE</v>
      </c>
      <c r="D260" s="3" t="str">
        <f>IFERROR(__xludf.dummyfunction("""COMPUTED_VALUE"""),"26156288")</f>
        <v>26156288</v>
      </c>
      <c r="E260" s="3" t="str">
        <f>IFERROR(__xludf.dummyfunction("""COMPUTED_VALUE"""),"INFANTIL 5")</f>
        <v>INFANTIL 5</v>
      </c>
      <c r="F260" s="3" t="str">
        <f>IFERROR(__xludf.dummyfunction("""COMPUTED_VALUE"""),"Vespertino/Tarde")</f>
        <v>Vespertino/Tarde</v>
      </c>
      <c r="G260" s="3" t="str">
        <f>IFERROR(__xludf.dummyfunction("""COMPUTED_VALUE"""),"Comum")</f>
        <v>Comum</v>
      </c>
      <c r="H260" s="3" t="str">
        <f>IFERROR(__xludf.dummyfunction("""COMPUTED_VALUE"""),"4")</f>
        <v>4</v>
      </c>
      <c r="I260" s="147" t="str">
        <f>IFERROR(__xludf.dummyfunction("""COMPUTED_VALUE"""),"26072448384")</f>
        <v>26072448384</v>
      </c>
      <c r="J260" s="3" t="str">
        <f>IFERROR(__xludf.dummyfunction("""COMPUTED_VALUE"""),"28/07/2026 17:41:54")</f>
        <v>28/07/2026 17:41:54</v>
      </c>
      <c r="K260" s="3" t="str">
        <f>IFERROR(__xludf.dummyfunction("""COMPUTED_VALUE"""),"JOAO ARTHUR SANTOS DE LIMA")</f>
        <v>JOAO ARTHUR SANTOS DE LIMA</v>
      </c>
      <c r="L260" s="146" t="str">
        <f>IFERROR(__xludf.dummyfunction("""COMPUTED_VALUE"""),"172.432.754-27")</f>
        <v>172.432.754-27</v>
      </c>
      <c r="M260" s="146" t="str">
        <f>IFERROR(__xludf.dummyfunction("""COMPUTED_VALUE"""),"05/07/2020")</f>
        <v>05/07/2020</v>
      </c>
      <c r="N260" s="3"/>
      <c r="O260" s="3" t="str">
        <f>IFERROR(__xludf.dummyfunction("""COMPUTED_VALUE"""),"0")</f>
        <v>0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hidden="1" customHeight="1" spans="1:29">
      <c r="A261" s="3"/>
      <c r="B261" s="3" t="str">
        <f t="array" ref="B261">_xlfn.XLOOKUP(D261,Tabela_Dados_Esc_JAB_2026[INEP],Tabela_Dados_Esc_JAB_2026[REGIONAL],"NE",0)</f>
        <v>REGIONAL 4</v>
      </c>
      <c r="C261" s="4" t="str">
        <f>IFERROR(__xludf.dummyfunction("""COMPUTED_VALUE"""),"CENTRO MUNICIPAL DE EDUCAÇÃO INFANTIL MARCOS FREIRE")</f>
        <v>CENTRO MUNICIPAL DE EDUCAÇÃO INFANTIL MARCOS FREIRE</v>
      </c>
      <c r="D261" s="3" t="str">
        <f>IFERROR(__xludf.dummyfunction("""COMPUTED_VALUE"""),"26156288")</f>
        <v>26156288</v>
      </c>
      <c r="E261" s="3" t="str">
        <f>IFERROR(__xludf.dummyfunction("""COMPUTED_VALUE"""),"INFANTIL 5")</f>
        <v>INFANTIL 5</v>
      </c>
      <c r="F261" s="3" t="str">
        <f>IFERROR(__xludf.dummyfunction("""COMPUTED_VALUE"""),"Vespertino/Tarde")</f>
        <v>Vespertino/Tarde</v>
      </c>
      <c r="G261" s="3" t="str">
        <f>IFERROR(__xludf.dummyfunction("""COMPUTED_VALUE"""),"Comum")</f>
        <v>Comum</v>
      </c>
      <c r="H261" s="3" t="str">
        <f>IFERROR(__xludf.dummyfunction("""COMPUTED_VALUE"""),"5")</f>
        <v>5</v>
      </c>
      <c r="I261" s="147" t="str">
        <f>IFERROR(__xludf.dummyfunction("""COMPUTED_VALUE"""),"26072647172")</f>
        <v>26072647172</v>
      </c>
      <c r="J261" s="3" t="str">
        <f>IFERROR(__xludf.dummyfunction("""COMPUTED_VALUE"""),"30/07/2026 10:33:59")</f>
        <v>30/07/2026 10:33:59</v>
      </c>
      <c r="K261" s="3" t="str">
        <f>IFERROR(__xludf.dummyfunction("""COMPUTED_VALUE"""),"VICTOR MIGUEL RODRIGUES DOS SANTOS")</f>
        <v>VICTOR MIGUEL RODRIGUES DOS SANTOS</v>
      </c>
      <c r="L261" s="146" t="str">
        <f>IFERROR(__xludf.dummyfunction("""COMPUTED_VALUE"""),"172.882.644-67")</f>
        <v>172.882.644-67</v>
      </c>
      <c r="M261" s="146" t="str">
        <f>IFERROR(__xludf.dummyfunction("""COMPUTED_VALUE"""),"29/07/2020")</f>
        <v>29/07/2020</v>
      </c>
      <c r="N261" s="3"/>
      <c r="O261" s="3" t="str">
        <f>IFERROR(__xludf.dummyfunction("""COMPUTED_VALUE"""),"0")</f>
        <v>0</v>
      </c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hidden="1" customHeight="1" spans="1:29">
      <c r="A262" s="3"/>
      <c r="B262" s="3" t="str">
        <f t="array" ref="B262">_xlfn.XLOOKUP(D262,Tabela_Dados_Esc_JAB_2026[INEP],Tabela_Dados_Esc_JAB_2026[REGIONAL],"NE",0)</f>
        <v>REGIONAL 6</v>
      </c>
      <c r="C262" s="4" t="str">
        <f>IFERROR(__xludf.dummyfunction("""COMPUTED_VALUE"""),"CENTRO MUNICIPAL PROFESSORA SIMONE PATRICIA FERREIRA DA SILVA")</f>
        <v>CENTRO MUNICIPAL PROFESSORA SIMONE PATRICIA FERREIRA DA SILVA</v>
      </c>
      <c r="D262" s="3" t="str">
        <f>IFERROR(__xludf.dummyfunction("""COMPUTED_VALUE"""),"26137739")</f>
        <v>26137739</v>
      </c>
      <c r="E262" s="3" t="str">
        <f>IFERROR(__xludf.dummyfunction("""COMPUTED_VALUE"""),"INFANTIL 5")</f>
        <v>INFANTIL 5</v>
      </c>
      <c r="F262" s="3" t="str">
        <f>IFERROR(__xludf.dummyfunction("""COMPUTED_VALUE"""),"Matutino/Manhã")</f>
        <v>Matutino/Manhã</v>
      </c>
      <c r="G262" s="3" t="str">
        <f>IFERROR(__xludf.dummyfunction("""COMPUTED_VALUE"""),"Comum")</f>
        <v>Comum</v>
      </c>
      <c r="H262" s="3" t="str">
        <f>IFERROR(__xludf.dummyfunction("""COMPUTED_VALUE"""),"1")</f>
        <v>1</v>
      </c>
      <c r="I262" s="147" t="str">
        <f>IFERROR(__xludf.dummyfunction("""COMPUTED_VALUE"""),"26062262729")</f>
        <v>26062262729</v>
      </c>
      <c r="J262" s="3" t="str">
        <f>IFERROR(__xludf.dummyfunction("""COMPUTED_VALUE"""),"09/06/2026 11:30:09")</f>
        <v>09/06/2026 11:30:09</v>
      </c>
      <c r="K262" s="3" t="str">
        <f>IFERROR(__xludf.dummyfunction("""COMPUTED_VALUE"""),"Yohanna Silva Garcez")</f>
        <v>Yohanna Silva Garcez</v>
      </c>
      <c r="L262" s="146" t="str">
        <f>IFERROR(__xludf.dummyfunction("""COMPUTED_VALUE"""),"221.929.117-00")</f>
        <v>221.929.117-00</v>
      </c>
      <c r="M262" s="146" t="str">
        <f>IFERROR(__xludf.dummyfunction("""COMPUTED_VALUE"""),"09/04/2020")</f>
        <v>09/04/2020</v>
      </c>
      <c r="N262" s="3"/>
      <c r="O262" s="3" t="str">
        <f>IFERROR(__xludf.dummyfunction("""COMPUTED_VALUE"""),"0")</f>
        <v>0</v>
      </c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hidden="1" customHeight="1" spans="1:29">
      <c r="A263" s="3"/>
      <c r="B263" s="3" t="str">
        <f t="array" ref="B263">_xlfn.XLOOKUP(D263,Tabela_Dados_Esc_JAB_2026[INEP],Tabela_Dados_Esc_JAB_2026[REGIONAL],"NE",0)</f>
        <v>REGIONAL 6</v>
      </c>
      <c r="C263" s="4" t="str">
        <f>IFERROR(__xludf.dummyfunction("""COMPUTED_VALUE"""),"CENTRO MUNICIPAL PROFESSORA SIMONE PATRICIA FERREIRA DA SILVA")</f>
        <v>CENTRO MUNICIPAL PROFESSORA SIMONE PATRICIA FERREIRA DA SILVA</v>
      </c>
      <c r="D263" s="3" t="str">
        <f>IFERROR(__xludf.dummyfunction("""COMPUTED_VALUE"""),"26137739")</f>
        <v>26137739</v>
      </c>
      <c r="E263" s="3" t="str">
        <f>IFERROR(__xludf.dummyfunction("""COMPUTED_VALUE"""),"INFANTIL 5")</f>
        <v>INFANTIL 5</v>
      </c>
      <c r="F263" s="3" t="str">
        <f>IFERROR(__xludf.dummyfunction("""COMPUTED_VALUE"""),"Vespertino/Tarde")</f>
        <v>Vespertino/Tarde</v>
      </c>
      <c r="G263" s="3" t="str">
        <f>IFERROR(__xludf.dummyfunction("""COMPUTED_VALUE"""),"Comum")</f>
        <v>Comum</v>
      </c>
      <c r="H263" s="3" t="str">
        <f>IFERROR(__xludf.dummyfunction("""COMPUTED_VALUE"""),"1")</f>
        <v>1</v>
      </c>
      <c r="I263" s="147" t="str">
        <f>IFERROR(__xludf.dummyfunction("""COMPUTED_VALUE"""),"26042773509")</f>
        <v>26042773509</v>
      </c>
      <c r="J263" s="3" t="str">
        <f>IFERROR(__xludf.dummyfunction("""COMPUTED_VALUE"""),"25/04/2026 19:19:54")</f>
        <v>25/04/2026 19:19:54</v>
      </c>
      <c r="K263" s="3" t="str">
        <f>IFERROR(__xludf.dummyfunction("""COMPUTED_VALUE"""),"LUA AINOÃ SANTOS DAS CHAGAS")</f>
        <v>LUA AINOÃ SANTOS DAS CHAGAS</v>
      </c>
      <c r="L263" s="146" t="str">
        <f>IFERROR(__xludf.dummyfunction("""COMPUTED_VALUE"""),"172.004.454-60")</f>
        <v>172.004.454-60</v>
      </c>
      <c r="M263" s="146" t="str">
        <f>IFERROR(__xludf.dummyfunction("""COMPUTED_VALUE"""),"15/04/2020")</f>
        <v>15/04/2020</v>
      </c>
      <c r="N263" s="3"/>
      <c r="O263" s="3" t="str">
        <f>IFERROR(__xludf.dummyfunction("""COMPUTED_VALUE"""),"0")</f>
        <v>0</v>
      </c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 spans="1:29">
      <c r="A264" s="3"/>
      <c r="B264" s="3" t="str">
        <f t="array" ref="B264">_xlfn.XLOOKUP(D264,Tabela_Dados_Esc_JAB_2026[INEP],Tabela_Dados_Esc_JAB_2026[REGIONAL],"NE",0)</f>
        <v>REGIONAL 2</v>
      </c>
      <c r="C264" s="4" t="str">
        <f>IFERROR(__xludf.dummyfunction("""COMPUTED_VALUE"""),"CRECHE ALAYDE MARIA DA CONCEICAO")</f>
        <v>CRECHE ALAYDE MARIA DA CONCEICAO</v>
      </c>
      <c r="D264" s="3" t="str">
        <f>IFERROR(__xludf.dummyfunction("""COMPUTED_VALUE"""),"26109425")</f>
        <v>26109425</v>
      </c>
      <c r="E264" s="3" t="str">
        <f>IFERROR(__xludf.dummyfunction("""COMPUTED_VALUE"""),"INFANTIL 1")</f>
        <v>INFANTIL 1</v>
      </c>
      <c r="F264" s="3" t="str">
        <f>IFERROR(__xludf.dummyfunction("""COMPUTED_VALUE"""),"Integral")</f>
        <v>Integral</v>
      </c>
      <c r="G264" s="3" t="str">
        <f>IFERROR(__xludf.dummyfunction("""COMPUTED_VALUE"""),"Comum")</f>
        <v>Comum</v>
      </c>
      <c r="H264" s="3" t="str">
        <f>IFERROR(__xludf.dummyfunction("""COMPUTED_VALUE"""),"1")</f>
        <v>1</v>
      </c>
      <c r="I264" s="147" t="str">
        <f>IFERROR(__xludf.dummyfunction("""COMPUTED_VALUE"""),"26022612593")</f>
        <v>26022612593</v>
      </c>
      <c r="J264" s="3" t="str">
        <f>IFERROR(__xludf.dummyfunction("""COMPUTED_VALUE"""),"25/02/2026 12:49:56")</f>
        <v>25/02/2026 12:49:56</v>
      </c>
      <c r="K264" s="3" t="str">
        <f>IFERROR(__xludf.dummyfunction("""COMPUTED_VALUE"""),"CR")</f>
        <v>CR</v>
      </c>
      <c r="L264" s="146" t="str">
        <f>IFERROR(__xludf.dummyfunction("""COMPUTED_VALUE"""),"006.659.714-51")</f>
        <v>006.659.714-51</v>
      </c>
      <c r="M264" s="146" t="str">
        <f>IFERROR(__xludf.dummyfunction("""COMPUTED_VALUE"""),"03/07/2025")</f>
        <v>03/07/2025</v>
      </c>
      <c r="N264" s="3"/>
      <c r="O264" s="3" t="str">
        <f>IFERROR(__xludf.dummyfunction("""COMPUTED_VALUE"""),"0")</f>
        <v>0</v>
      </c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 spans="1:29">
      <c r="A265" s="3"/>
      <c r="B265" s="3" t="str">
        <f t="array" ref="B265">_xlfn.XLOOKUP(D265,Tabela_Dados_Esc_JAB_2026[INEP],Tabela_Dados_Esc_JAB_2026[REGIONAL],"NE",0)</f>
        <v>REGIONAL 2</v>
      </c>
      <c r="C265" s="4" t="str">
        <f>IFERROR(__xludf.dummyfunction("""COMPUTED_VALUE"""),"CRECHE ALAYDE MARIA DA CONCEICAO")</f>
        <v>CRECHE ALAYDE MARIA DA CONCEICAO</v>
      </c>
      <c r="D265" s="3" t="str">
        <f>IFERROR(__xludf.dummyfunction("""COMPUTED_VALUE"""),"26109425")</f>
        <v>26109425</v>
      </c>
      <c r="E265" s="3" t="str">
        <f>IFERROR(__xludf.dummyfunction("""COMPUTED_VALUE"""),"INFANTIL 1")</f>
        <v>INFANTIL 1</v>
      </c>
      <c r="F265" s="3" t="str">
        <f>IFERROR(__xludf.dummyfunction("""COMPUTED_VALUE"""),"Integral")</f>
        <v>Integral</v>
      </c>
      <c r="G265" s="3" t="str">
        <f>IFERROR(__xludf.dummyfunction("""COMPUTED_VALUE"""),"Comum")</f>
        <v>Comum</v>
      </c>
      <c r="H265" s="3" t="str">
        <f>IFERROR(__xludf.dummyfunction("""COMPUTED_VALUE"""),"2")</f>
        <v>2</v>
      </c>
      <c r="I265" s="147" t="str">
        <f>IFERROR(__xludf.dummyfunction("""COMPUTED_VALUE"""),"26032529005")</f>
        <v>26032529005</v>
      </c>
      <c r="J265" s="3" t="str">
        <f>IFERROR(__xludf.dummyfunction("""COMPUTED_VALUE"""),"25/03/2026 16:34:54")</f>
        <v>25/03/2026 16:34:54</v>
      </c>
      <c r="K265" s="3" t="str">
        <f>IFERROR(__xludf.dummyfunction("""COMPUTED_VALUE"""),"DAVY ALVES DA SILVA")</f>
        <v>DAVY ALVES DA SILVA</v>
      </c>
      <c r="L265" s="146" t="str">
        <f>IFERROR(__xludf.dummyfunction("""COMPUTED_VALUE"""),"003.543.594-10")</f>
        <v>003.543.594-10</v>
      </c>
      <c r="M265" s="146" t="str">
        <f>IFERROR(__xludf.dummyfunction("""COMPUTED_VALUE"""),"27/05/2025")</f>
        <v>27/05/2025</v>
      </c>
      <c r="N265" s="3"/>
      <c r="O265" s="3" t="str">
        <f>IFERROR(__xludf.dummyfunction("""COMPUTED_VALUE"""),"0")</f>
        <v>0</v>
      </c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 spans="1:29">
      <c r="A266" s="3"/>
      <c r="B266" s="3" t="str">
        <f t="array" ref="B266">_xlfn.XLOOKUP(D266,Tabela_Dados_Esc_JAB_2026[INEP],Tabela_Dados_Esc_JAB_2026[REGIONAL],"NE",0)</f>
        <v>REGIONAL 2</v>
      </c>
      <c r="C266" s="4" t="str">
        <f>IFERROR(__xludf.dummyfunction("""COMPUTED_VALUE"""),"CRECHE ALAYDE MARIA DA CONCEICAO")</f>
        <v>CRECHE ALAYDE MARIA DA CONCEICAO</v>
      </c>
      <c r="D266" s="3" t="str">
        <f>IFERROR(__xludf.dummyfunction("""COMPUTED_VALUE"""),"26109425")</f>
        <v>26109425</v>
      </c>
      <c r="E266" s="3" t="str">
        <f>IFERROR(__xludf.dummyfunction("""COMPUTED_VALUE"""),"INFANTIL 1")</f>
        <v>INFANTIL 1</v>
      </c>
      <c r="F266" s="3" t="str">
        <f>IFERROR(__xludf.dummyfunction("""COMPUTED_VALUE"""),"Integral")</f>
        <v>Integral</v>
      </c>
      <c r="G266" s="3" t="str">
        <f>IFERROR(__xludf.dummyfunction("""COMPUTED_VALUE"""),"Comum")</f>
        <v>Comum</v>
      </c>
      <c r="H266" s="3" t="str">
        <f>IFERROR(__xludf.dummyfunction("""COMPUTED_VALUE"""),"3")</f>
        <v>3</v>
      </c>
      <c r="I266" s="147" t="str">
        <f>IFERROR(__xludf.dummyfunction("""COMPUTED_VALUE"""),"26062299697")</f>
        <v>26062299697</v>
      </c>
      <c r="J266" s="3" t="str">
        <f>IFERROR(__xludf.dummyfunction("""COMPUTED_VALUE"""),"18/06/2026 11:42:52")</f>
        <v>18/06/2026 11:42:52</v>
      </c>
      <c r="K266" s="3" t="str">
        <f>IFERROR(__xludf.dummyfunction("""COMPUTED_VALUE"""),"Hellena Sophia Souza da Silva")</f>
        <v>Hellena Sophia Souza da Silva</v>
      </c>
      <c r="L266" s="146" t="str">
        <f>IFERROR(__xludf.dummyfunction("""COMPUTED_VALUE"""),"005.830.624-23")</f>
        <v>005.830.624-23</v>
      </c>
      <c r="M266" s="146" t="str">
        <f>IFERROR(__xludf.dummyfunction("""COMPUTED_VALUE"""),"04/04/2025")</f>
        <v>04/04/2025</v>
      </c>
      <c r="N266" s="3"/>
      <c r="O266" s="3" t="str">
        <f>IFERROR(__xludf.dummyfunction("""COMPUTED_VALUE"""),"0")</f>
        <v>0</v>
      </c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 spans="1:29">
      <c r="A267" s="3"/>
      <c r="B267" s="3" t="str">
        <f t="array" ref="B267">_xlfn.XLOOKUP(D267,Tabela_Dados_Esc_JAB_2026[INEP],Tabela_Dados_Esc_JAB_2026[REGIONAL],"NE",0)</f>
        <v>REGIONAL 2</v>
      </c>
      <c r="C267" s="4" t="str">
        <f>IFERROR(__xludf.dummyfunction("""COMPUTED_VALUE"""),"CRECHE ALAYDE MARIA DA CONCEICAO")</f>
        <v>CRECHE ALAYDE MARIA DA CONCEICAO</v>
      </c>
      <c r="D267" s="3" t="str">
        <f>IFERROR(__xludf.dummyfunction("""COMPUTED_VALUE"""),"26109425")</f>
        <v>26109425</v>
      </c>
      <c r="E267" s="3" t="str">
        <f>IFERROR(__xludf.dummyfunction("""COMPUTED_VALUE"""),"INFANTIL 1")</f>
        <v>INFANTIL 1</v>
      </c>
      <c r="F267" s="3" t="str">
        <f>IFERROR(__xludf.dummyfunction("""COMPUTED_VALUE"""),"Integral")</f>
        <v>Integral</v>
      </c>
      <c r="G267" s="3" t="str">
        <f>IFERROR(__xludf.dummyfunction("""COMPUTED_VALUE"""),"Comum")</f>
        <v>Comum</v>
      </c>
      <c r="H267" s="3" t="str">
        <f>IFERROR(__xludf.dummyfunction("""COMPUTED_VALUE"""),"4")</f>
        <v>4</v>
      </c>
      <c r="I267" s="147" t="str">
        <f>IFERROR(__xludf.dummyfunction("""COMPUTED_VALUE"""),"26062154133")</f>
        <v>26062154133</v>
      </c>
      <c r="J267" s="3" t="str">
        <f>IFERROR(__xludf.dummyfunction("""COMPUTED_VALUE"""),"23/06/2026 08:34:26")</f>
        <v>23/06/2026 08:34:26</v>
      </c>
      <c r="K267" s="3" t="str">
        <f>IFERROR(__xludf.dummyfunction("""COMPUTED_VALUE"""),"Eloá Sofia pareia de Oliveira")</f>
        <v>Eloá Sofia pareia de Oliveira</v>
      </c>
      <c r="L267" s="146" t="str">
        <f>IFERROR(__xludf.dummyfunction("""COMPUTED_VALUE"""),"003.450.224-67")</f>
        <v>003.450.224-67</v>
      </c>
      <c r="M267" s="146" t="str">
        <f>IFERROR(__xludf.dummyfunction("""COMPUTED_VALUE"""),"08/07/2024")</f>
        <v>08/07/2024</v>
      </c>
      <c r="N267" s="3"/>
      <c r="O267" s="3" t="str">
        <f>IFERROR(__xludf.dummyfunction("""COMPUTED_VALUE"""),"0")</f>
        <v>0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 spans="1:29">
      <c r="A268" s="3"/>
      <c r="B268" s="3" t="str">
        <f t="array" ref="B268">_xlfn.XLOOKUP(D268,Tabela_Dados_Esc_JAB_2026[INEP],Tabela_Dados_Esc_JAB_2026[REGIONAL],"NE",0)</f>
        <v>REGIONAL 2</v>
      </c>
      <c r="C268" s="4" t="str">
        <f>IFERROR(__xludf.dummyfunction("""COMPUTED_VALUE"""),"CRECHE ALAYDE MARIA DA CONCEICAO")</f>
        <v>CRECHE ALAYDE MARIA DA CONCEICAO</v>
      </c>
      <c r="D268" s="3" t="str">
        <f>IFERROR(__xludf.dummyfunction("""COMPUTED_VALUE"""),"26109425")</f>
        <v>26109425</v>
      </c>
      <c r="E268" s="3" t="str">
        <f>IFERROR(__xludf.dummyfunction("""COMPUTED_VALUE"""),"INFANTIL 1")</f>
        <v>INFANTIL 1</v>
      </c>
      <c r="F268" s="3" t="str">
        <f>IFERROR(__xludf.dummyfunction("""COMPUTED_VALUE"""),"Integral")</f>
        <v>Integral</v>
      </c>
      <c r="G268" s="3" t="str">
        <f>IFERROR(__xludf.dummyfunction("""COMPUTED_VALUE"""),"Comum")</f>
        <v>Comum</v>
      </c>
      <c r="H268" s="3" t="str">
        <f>IFERROR(__xludf.dummyfunction("""COMPUTED_VALUE"""),"5")</f>
        <v>5</v>
      </c>
      <c r="I268" s="147" t="str">
        <f>IFERROR(__xludf.dummyfunction("""COMPUTED_VALUE"""),"26082013597")</f>
        <v>26082013597</v>
      </c>
      <c r="J268" s="3" t="str">
        <f>IFERROR(__xludf.dummyfunction("""COMPUTED_VALUE"""),"04/08/2026 21:58:49")</f>
        <v>04/08/2026 21:58:49</v>
      </c>
      <c r="K268" s="3" t="str">
        <f>IFERROR(__xludf.dummyfunction("""COMPUTED_VALUE"""),"Vivian Roberta da Silva Conceição")</f>
        <v>Vivian Roberta da Silva Conceição</v>
      </c>
      <c r="L268" s="146" t="str">
        <f>IFERROR(__xludf.dummyfunction("""COMPUTED_VALUE"""),"005.510.474-61")</f>
        <v>005.510.474-61</v>
      </c>
      <c r="M268" s="146" t="str">
        <f>IFERROR(__xludf.dummyfunction("""COMPUTED_VALUE"""),"28/02/2025")</f>
        <v>28/02/2025</v>
      </c>
      <c r="N268" s="3"/>
      <c r="O268" s="3" t="str">
        <f>IFERROR(__xludf.dummyfunction("""COMPUTED_VALUE"""),"0")</f>
        <v>0</v>
      </c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 spans="1:29">
      <c r="A269" s="3"/>
      <c r="B269" s="3" t="str">
        <f t="array" ref="B269">_xlfn.XLOOKUP(D269,Tabela_Dados_Esc_JAB_2026[INEP],Tabela_Dados_Esc_JAB_2026[REGIONAL],"NE",0)</f>
        <v>REGIONAL 2</v>
      </c>
      <c r="C269" s="4" t="str">
        <f>IFERROR(__xludf.dummyfunction("""COMPUTED_VALUE"""),"CRECHE ALAYDE MARIA DA CONCEICAO")</f>
        <v>CRECHE ALAYDE MARIA DA CONCEICAO</v>
      </c>
      <c r="D269" s="3" t="str">
        <f>IFERROR(__xludf.dummyfunction("""COMPUTED_VALUE"""),"26109425")</f>
        <v>26109425</v>
      </c>
      <c r="E269" s="3" t="str">
        <f>IFERROR(__xludf.dummyfunction("""COMPUTED_VALUE"""),"INFANTIL 2")</f>
        <v>INFANTIL 2</v>
      </c>
      <c r="F269" s="3" t="str">
        <f>IFERROR(__xludf.dummyfunction("""COMPUTED_VALUE"""),"Integral")</f>
        <v>Integral</v>
      </c>
      <c r="G269" s="3" t="str">
        <f>IFERROR(__xludf.dummyfunction("""COMPUTED_VALUE"""),"Comum")</f>
        <v>Comum</v>
      </c>
      <c r="H269" s="3" t="str">
        <f>IFERROR(__xludf.dummyfunction("""COMPUTED_VALUE"""),"1")</f>
        <v>1</v>
      </c>
      <c r="I269" s="147" t="str">
        <f>IFERROR(__xludf.dummyfunction("""COMPUTED_VALUE"""),"26032219969")</f>
        <v>26032219969</v>
      </c>
      <c r="J269" s="3" t="str">
        <f>IFERROR(__xludf.dummyfunction("""COMPUTED_VALUE"""),"19/03/2026 10:36:55")</f>
        <v>19/03/2026 10:36:55</v>
      </c>
      <c r="K269" s="3" t="str">
        <f>IFERROR(__xludf.dummyfunction("""COMPUTED_VALUE"""),"ELLIZA EMANUELLEY MONTE DE LIMA")</f>
        <v>ELLIZA EMANUELLEY MONTE DE LIMA</v>
      </c>
      <c r="L269" s="146" t="str">
        <f>IFERROR(__xludf.dummyfunction("""COMPUTED_VALUE"""),"185.171.144-93")</f>
        <v>185.171.144-93</v>
      </c>
      <c r="M269" s="146" t="str">
        <f>IFERROR(__xludf.dummyfunction("""COMPUTED_VALUE"""),"21/04/2023")</f>
        <v>21/04/2023</v>
      </c>
      <c r="N269" s="3"/>
      <c r="O269" s="3" t="str">
        <f>IFERROR(__xludf.dummyfunction("""COMPUTED_VALUE"""),"0")</f>
        <v>0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 spans="1:29">
      <c r="A270" s="3"/>
      <c r="B270" s="3" t="str">
        <f t="array" ref="B270">_xlfn.XLOOKUP(D270,Tabela_Dados_Esc_JAB_2026[INEP],Tabela_Dados_Esc_JAB_2026[REGIONAL],"NE",0)</f>
        <v>REGIONAL 2</v>
      </c>
      <c r="C270" s="4" t="str">
        <f>IFERROR(__xludf.dummyfunction("""COMPUTED_VALUE"""),"CRECHE ALAYDE MARIA DA CONCEICAO")</f>
        <v>CRECHE ALAYDE MARIA DA CONCEICAO</v>
      </c>
      <c r="D270" s="3" t="str">
        <f>IFERROR(__xludf.dummyfunction("""COMPUTED_VALUE"""),"26109425")</f>
        <v>26109425</v>
      </c>
      <c r="E270" s="3" t="str">
        <f>IFERROR(__xludf.dummyfunction("""COMPUTED_VALUE"""),"INFANTIL 2")</f>
        <v>INFANTIL 2</v>
      </c>
      <c r="F270" s="3" t="str">
        <f>IFERROR(__xludf.dummyfunction("""COMPUTED_VALUE"""),"Integral")</f>
        <v>Integral</v>
      </c>
      <c r="G270" s="3" t="str">
        <f>IFERROR(__xludf.dummyfunction("""COMPUTED_VALUE"""),"Comum")</f>
        <v>Comum</v>
      </c>
      <c r="H270" s="3" t="str">
        <f>IFERROR(__xludf.dummyfunction("""COMPUTED_VALUE"""),"2")</f>
        <v>2</v>
      </c>
      <c r="I270" s="147" t="str">
        <f>IFERROR(__xludf.dummyfunction("""COMPUTED_VALUE"""),"26032637968")</f>
        <v>26032637968</v>
      </c>
      <c r="J270" s="3" t="str">
        <f>IFERROR(__xludf.dummyfunction("""COMPUTED_VALUE"""),"31/03/2026 12:14:35")</f>
        <v>31/03/2026 12:14:35</v>
      </c>
      <c r="K270" s="3" t="str">
        <f>IFERROR(__xludf.dummyfunction("""COMPUTED_VALUE"""),"HELLOÁ DANIELLY AMORIM FELIX")</f>
        <v>HELLOÁ DANIELLY AMORIM FELIX</v>
      </c>
      <c r="L270" s="146" t="str">
        <f>IFERROR(__xludf.dummyfunction("""COMPUTED_VALUE"""),"002.685.434-10")</f>
        <v>002.685.434-10</v>
      </c>
      <c r="M270" s="146" t="str">
        <f>IFERROR(__xludf.dummyfunction("""COMPUTED_VALUE"""),"04/03/2024")</f>
        <v>04/03/2024</v>
      </c>
      <c r="N270" s="3"/>
      <c r="O270" s="3" t="str">
        <f>IFERROR(__xludf.dummyfunction("""COMPUTED_VALUE"""),"0")</f>
        <v>0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 spans="1:29">
      <c r="A271" s="3"/>
      <c r="B271" s="3" t="str">
        <f t="array" ref="B271">_xlfn.XLOOKUP(D271,Tabela_Dados_Esc_JAB_2026[INEP],Tabela_Dados_Esc_JAB_2026[REGIONAL],"NE",0)</f>
        <v>REGIONAL 2</v>
      </c>
      <c r="C271" s="4" t="str">
        <f>IFERROR(__xludf.dummyfunction("""COMPUTED_VALUE"""),"CRECHE ALAYDE MARIA DA CONCEICAO")</f>
        <v>CRECHE ALAYDE MARIA DA CONCEICAO</v>
      </c>
      <c r="D271" s="3" t="str">
        <f>IFERROR(__xludf.dummyfunction("""COMPUTED_VALUE"""),"26109425")</f>
        <v>26109425</v>
      </c>
      <c r="E271" s="3" t="str">
        <f>IFERROR(__xludf.dummyfunction("""COMPUTED_VALUE"""),"INFANTIL 2")</f>
        <v>INFANTIL 2</v>
      </c>
      <c r="F271" s="3" t="str">
        <f>IFERROR(__xludf.dummyfunction("""COMPUTED_VALUE"""),"Integral")</f>
        <v>Integral</v>
      </c>
      <c r="G271" s="3" t="str">
        <f>IFERROR(__xludf.dummyfunction("""COMPUTED_VALUE"""),"Comum")</f>
        <v>Comum</v>
      </c>
      <c r="H271" s="3" t="str">
        <f>IFERROR(__xludf.dummyfunction("""COMPUTED_VALUE"""),"3")</f>
        <v>3</v>
      </c>
      <c r="I271" s="147" t="str">
        <f>IFERROR(__xludf.dummyfunction("""COMPUTED_VALUE"""),"26042667623")</f>
        <v>26042667623</v>
      </c>
      <c r="J271" s="3" t="str">
        <f>IFERROR(__xludf.dummyfunction("""COMPUTED_VALUE"""),"27/04/2026 15:51:32")</f>
        <v>27/04/2026 15:51:32</v>
      </c>
      <c r="K271" s="3" t="str">
        <f>IFERROR(__xludf.dummyfunction("""COMPUTED_VALUE"""),"EDRICK FELIPE MELO DOS SANTOS RODRIGUES")</f>
        <v>EDRICK FELIPE MELO DOS SANTOS RODRIGUES</v>
      </c>
      <c r="L271" s="146" t="str">
        <f>IFERROR(__xludf.dummyfunction("""COMPUTED_VALUE"""),"001.939.124-22")</f>
        <v>001.939.124-22</v>
      </c>
      <c r="M271" s="146" t="str">
        <f>IFERROR(__xludf.dummyfunction("""COMPUTED_VALUE"""),"11/02/2024")</f>
        <v>11/02/2024</v>
      </c>
      <c r="N271" s="3"/>
      <c r="O271" s="3" t="str">
        <f>IFERROR(__xludf.dummyfunction("""COMPUTED_VALUE"""),"0")</f>
        <v>0</v>
      </c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hidden="1" customHeight="1" spans="1:29">
      <c r="A272" s="3"/>
      <c r="B272" s="3" t="str">
        <f t="array" ref="B272">_xlfn.XLOOKUP(D272,Tabela_Dados_Esc_JAB_2026[INEP],Tabela_Dados_Esc_JAB_2026[REGIONAL],"NE",0)</f>
        <v>REGIONAL 1</v>
      </c>
      <c r="C272" s="4" t="str">
        <f>IFERROR(__xludf.dummyfunction("""COMPUTED_VALUE"""),"CRECHE CIRANDA CIRANDINHA")</f>
        <v>CRECHE CIRANDA CIRANDINHA</v>
      </c>
      <c r="D272" s="3" t="str">
        <f>IFERROR(__xludf.dummyfunction("""COMPUTED_VALUE"""),"26156270")</f>
        <v>26156270</v>
      </c>
      <c r="E272" s="3" t="str">
        <f>IFERROR(__xludf.dummyfunction("""COMPUTED_VALUE"""),"INFANTIL 1")</f>
        <v>INFANTIL 1</v>
      </c>
      <c r="F272" s="3" t="str">
        <f>IFERROR(__xludf.dummyfunction("""COMPUTED_VALUE"""),"Integral")</f>
        <v>Integral</v>
      </c>
      <c r="G272" s="3" t="str">
        <f>IFERROR(__xludf.dummyfunction("""COMPUTED_VALUE"""),"Comum")</f>
        <v>Comum</v>
      </c>
      <c r="H272" s="3" t="str">
        <f>IFERROR(__xludf.dummyfunction("""COMPUTED_VALUE"""),"1")</f>
        <v>1</v>
      </c>
      <c r="I272" s="147" t="str">
        <f>IFERROR(__xludf.dummyfunction("""COMPUTED_VALUE"""),"26032361580")</f>
        <v>26032361580</v>
      </c>
      <c r="J272" s="3" t="str">
        <f>IFERROR(__xludf.dummyfunction("""COMPUTED_VALUE"""),"14/03/2026 10:04:37")</f>
        <v>14/03/2026 10:04:37</v>
      </c>
      <c r="K272" s="3" t="str">
        <f>IFERROR(__xludf.dummyfunction("""COMPUTED_VALUE"""),"BERNARDO CARVALHO")</f>
        <v>BERNARDO CARVALHO</v>
      </c>
      <c r="L272" s="146" t="str">
        <f>IFERROR(__xludf.dummyfunction("""COMPUTED_VALUE"""),"003.334.034-01")</f>
        <v>003.334.034-01</v>
      </c>
      <c r="M272" s="146" t="str">
        <f>IFERROR(__xludf.dummyfunction("""COMPUTED_VALUE"""),"27/06/2024")</f>
        <v>27/06/2024</v>
      </c>
      <c r="N272" s="3"/>
      <c r="O272" s="3" t="str">
        <f>IFERROR(__xludf.dummyfunction("""COMPUTED_VALUE"""),"0")</f>
        <v>0</v>
      </c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hidden="1" customHeight="1" spans="1:29">
      <c r="A273" s="3"/>
      <c r="B273" s="3" t="str">
        <f t="array" ref="B273">_xlfn.XLOOKUP(D273,Tabela_Dados_Esc_JAB_2026[INEP],Tabela_Dados_Esc_JAB_2026[REGIONAL],"NE",0)</f>
        <v>REGIONAL 1</v>
      </c>
      <c r="C273" s="4" t="str">
        <f>IFERROR(__xludf.dummyfunction("""COMPUTED_VALUE"""),"CRECHE CIRANDA CIRANDINHA")</f>
        <v>CRECHE CIRANDA CIRANDINHA</v>
      </c>
      <c r="D273" s="3" t="str">
        <f>IFERROR(__xludf.dummyfunction("""COMPUTED_VALUE"""),"26156270")</f>
        <v>26156270</v>
      </c>
      <c r="E273" s="3" t="str">
        <f>IFERROR(__xludf.dummyfunction("""COMPUTED_VALUE"""),"INFANTIL 1")</f>
        <v>INFANTIL 1</v>
      </c>
      <c r="F273" s="3" t="str">
        <f>IFERROR(__xludf.dummyfunction("""COMPUTED_VALUE"""),"Integral")</f>
        <v>Integral</v>
      </c>
      <c r="G273" s="3" t="str">
        <f>IFERROR(__xludf.dummyfunction("""COMPUTED_VALUE"""),"Comum")</f>
        <v>Comum</v>
      </c>
      <c r="H273" s="3" t="str">
        <f>IFERROR(__xludf.dummyfunction("""COMPUTED_VALUE"""),"2")</f>
        <v>2</v>
      </c>
      <c r="I273" s="147" t="str">
        <f>IFERROR(__xludf.dummyfunction("""COMPUTED_VALUE"""),"26042609036")</f>
        <v>26042609036</v>
      </c>
      <c r="J273" s="3" t="str">
        <f>IFERROR(__xludf.dummyfunction("""COMPUTED_VALUE"""),"29/04/2026 14:37:28")</f>
        <v>29/04/2026 14:37:28</v>
      </c>
      <c r="K273" s="3" t="str">
        <f>IFERROR(__xludf.dummyfunction("""COMPUTED_VALUE"""),"KAUE RAVI BATISTA DO BOMFIM")</f>
        <v>KAUE RAVI BATISTA DO BOMFIM</v>
      </c>
      <c r="L273" s="146" t="str">
        <f>IFERROR(__xludf.dummyfunction("""COMPUTED_VALUE"""),"006.037.364-40")</f>
        <v>006.037.364-40</v>
      </c>
      <c r="M273" s="146" t="str">
        <f>IFERROR(__xludf.dummyfunction("""COMPUTED_VALUE"""),"14/01/2025")</f>
        <v>14/01/2025</v>
      </c>
      <c r="N273" s="3"/>
      <c r="O273" s="3" t="str">
        <f>IFERROR(__xludf.dummyfunction("""COMPUTED_VALUE"""),"0")</f>
        <v>0</v>
      </c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hidden="1" customHeight="1" spans="1:29">
      <c r="A274" s="3"/>
      <c r="B274" s="3" t="str">
        <f t="array" ref="B274">_xlfn.XLOOKUP(D274,Tabela_Dados_Esc_JAB_2026[INEP],Tabela_Dados_Esc_JAB_2026[REGIONAL],"NE",0)</f>
        <v>REGIONAL 1</v>
      </c>
      <c r="C274" s="4" t="str">
        <f>IFERROR(__xludf.dummyfunction("""COMPUTED_VALUE"""),"CRECHE CIRANDA CIRANDINHA")</f>
        <v>CRECHE CIRANDA CIRANDINHA</v>
      </c>
      <c r="D274" s="3" t="str">
        <f>IFERROR(__xludf.dummyfunction("""COMPUTED_VALUE"""),"26156270")</f>
        <v>26156270</v>
      </c>
      <c r="E274" s="3" t="str">
        <f>IFERROR(__xludf.dummyfunction("""COMPUTED_VALUE"""),"INFANTIL 1")</f>
        <v>INFANTIL 1</v>
      </c>
      <c r="F274" s="3" t="str">
        <f>IFERROR(__xludf.dummyfunction("""COMPUTED_VALUE"""),"Integral")</f>
        <v>Integral</v>
      </c>
      <c r="G274" s="3" t="str">
        <f>IFERROR(__xludf.dummyfunction("""COMPUTED_VALUE"""),"Comum")</f>
        <v>Comum</v>
      </c>
      <c r="H274" s="3" t="str">
        <f>IFERROR(__xludf.dummyfunction("""COMPUTED_VALUE"""),"3")</f>
        <v>3</v>
      </c>
      <c r="I274" s="147" t="str">
        <f>IFERROR(__xludf.dummyfunction("""COMPUTED_VALUE"""),"26052003836")</f>
        <v>26052003836</v>
      </c>
      <c r="J274" s="3" t="str">
        <f>IFERROR(__xludf.dummyfunction("""COMPUTED_VALUE"""),"28/05/2026 16:17:10")</f>
        <v>28/05/2026 16:17:10</v>
      </c>
      <c r="K274" s="3" t="str">
        <f>IFERROR(__xludf.dummyfunction("""COMPUTED_VALUE"""),"HELENA CECÍLIA RAIMUNDO GOMES")</f>
        <v>HELENA CECÍLIA RAIMUNDO GOMES</v>
      </c>
      <c r="L274" s="146" t="str">
        <f>IFERROR(__xludf.dummyfunction("""COMPUTED_VALUE"""),"004.781.934-08")</f>
        <v>004.781.934-08</v>
      </c>
      <c r="M274" s="146" t="str">
        <f>IFERROR(__xludf.dummyfunction("""COMPUTED_VALUE"""),"02/12/2024")</f>
        <v>02/12/2024</v>
      </c>
      <c r="N274" s="3"/>
      <c r="O274" s="3" t="str">
        <f>IFERROR(__xludf.dummyfunction("""COMPUTED_VALUE"""),"0")</f>
        <v>0</v>
      </c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hidden="1" customHeight="1" spans="1:29">
      <c r="A275" s="3"/>
      <c r="B275" s="3" t="str">
        <f t="array" ref="B275">_xlfn.XLOOKUP(D275,Tabela_Dados_Esc_JAB_2026[INEP],Tabela_Dados_Esc_JAB_2026[REGIONAL],"NE",0)</f>
        <v>REGIONAL 1</v>
      </c>
      <c r="C275" s="4" t="str">
        <f>IFERROR(__xludf.dummyfunction("""COMPUTED_VALUE"""),"CRECHE CIRANDA CIRANDINHA")</f>
        <v>CRECHE CIRANDA CIRANDINHA</v>
      </c>
      <c r="D275" s="3" t="str">
        <f>IFERROR(__xludf.dummyfunction("""COMPUTED_VALUE"""),"26156270")</f>
        <v>26156270</v>
      </c>
      <c r="E275" s="3" t="str">
        <f>IFERROR(__xludf.dummyfunction("""COMPUTED_VALUE"""),"INFANTIL 1")</f>
        <v>INFANTIL 1</v>
      </c>
      <c r="F275" s="3" t="str">
        <f>IFERROR(__xludf.dummyfunction("""COMPUTED_VALUE"""),"Integral")</f>
        <v>Integral</v>
      </c>
      <c r="G275" s="3" t="str">
        <f>IFERROR(__xludf.dummyfunction("""COMPUTED_VALUE"""),"Comum")</f>
        <v>Comum</v>
      </c>
      <c r="H275" s="3" t="str">
        <f>IFERROR(__xludf.dummyfunction("""COMPUTED_VALUE"""),"4")</f>
        <v>4</v>
      </c>
      <c r="I275" s="147" t="str">
        <f>IFERROR(__xludf.dummyfunction("""COMPUTED_VALUE"""),"26062842371")</f>
        <v>26062842371</v>
      </c>
      <c r="J275" s="3" t="str">
        <f>IFERROR(__xludf.dummyfunction("""COMPUTED_VALUE"""),"01/06/2026 12:23:26")</f>
        <v>01/06/2026 12:23:26</v>
      </c>
      <c r="K275" s="3" t="str">
        <f>IFERROR(__xludf.dummyfunction("""COMPUTED_VALUE"""),"Aurora Beatriz Freitas Rodrigues")</f>
        <v>Aurora Beatriz Freitas Rodrigues</v>
      </c>
      <c r="L275" s="146" t="str">
        <f>IFERROR(__xludf.dummyfunction("""COMPUTED_VALUE"""),"006.752.714-01")</f>
        <v>006.752.714-01</v>
      </c>
      <c r="M275" s="146" t="str">
        <f>IFERROR(__xludf.dummyfunction("""COMPUTED_VALUE"""),"27/06/2025")</f>
        <v>27/06/2025</v>
      </c>
      <c r="N275" s="3"/>
      <c r="O275" s="3" t="str">
        <f>IFERROR(__xludf.dummyfunction("""COMPUTED_VALUE"""),"0")</f>
        <v>0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hidden="1" customHeight="1" spans="1:29">
      <c r="A276" s="3"/>
      <c r="B276" s="3" t="str">
        <f t="array" ref="B276">_xlfn.XLOOKUP(D276,Tabela_Dados_Esc_JAB_2026[INEP],Tabela_Dados_Esc_JAB_2026[REGIONAL],"NE",0)</f>
        <v>REGIONAL 1</v>
      </c>
      <c r="C276" s="4" t="str">
        <f>IFERROR(__xludf.dummyfunction("""COMPUTED_VALUE"""),"CRECHE CIRANDA CIRANDINHA")</f>
        <v>CRECHE CIRANDA CIRANDINHA</v>
      </c>
      <c r="D276" s="3" t="str">
        <f>IFERROR(__xludf.dummyfunction("""COMPUTED_VALUE"""),"26156270")</f>
        <v>26156270</v>
      </c>
      <c r="E276" s="3" t="str">
        <f>IFERROR(__xludf.dummyfunction("""COMPUTED_VALUE"""),"INFANTIL 1")</f>
        <v>INFANTIL 1</v>
      </c>
      <c r="F276" s="3" t="str">
        <f>IFERROR(__xludf.dummyfunction("""COMPUTED_VALUE"""),"Integral")</f>
        <v>Integral</v>
      </c>
      <c r="G276" s="3" t="str">
        <f>IFERROR(__xludf.dummyfunction("""COMPUTED_VALUE"""),"Comum")</f>
        <v>Comum</v>
      </c>
      <c r="H276" s="3" t="str">
        <f>IFERROR(__xludf.dummyfunction("""COMPUTED_VALUE"""),"5")</f>
        <v>5</v>
      </c>
      <c r="I276" s="147" t="str">
        <f>IFERROR(__xludf.dummyfunction("""COMPUTED_VALUE"""),"26062500848")</f>
        <v>26062500848</v>
      </c>
      <c r="J276" s="3" t="str">
        <f>IFERROR(__xludf.dummyfunction("""COMPUTED_VALUE"""),"19/06/2026 10:54:15")</f>
        <v>19/06/2026 10:54:15</v>
      </c>
      <c r="K276" s="3" t="str">
        <f>IFERROR(__xludf.dummyfunction("""COMPUTED_VALUE"""),"Micael Luiz caldas farias")</f>
        <v>Micael Luiz caldas farias</v>
      </c>
      <c r="L276" s="146" t="str">
        <f>IFERROR(__xludf.dummyfunction("""COMPUTED_VALUE"""),"007.154.064-42")</f>
        <v>007.154.064-42</v>
      </c>
      <c r="M276" s="146" t="str">
        <f>IFERROR(__xludf.dummyfunction("""COMPUTED_VALUE"""),"28/07/2025")</f>
        <v>28/07/2025</v>
      </c>
      <c r="N276" s="3"/>
      <c r="O276" s="3" t="str">
        <f>IFERROR(__xludf.dummyfunction("""COMPUTED_VALUE"""),"0")</f>
        <v>0</v>
      </c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hidden="1" customHeight="1" spans="1:29">
      <c r="A277" s="3"/>
      <c r="B277" s="3" t="str">
        <f t="array" ref="B277">_xlfn.XLOOKUP(D277,Tabela_Dados_Esc_JAB_2026[INEP],Tabela_Dados_Esc_JAB_2026[REGIONAL],"NE",0)</f>
        <v>REGIONAL 1</v>
      </c>
      <c r="C277" s="4" t="str">
        <f>IFERROR(__xludf.dummyfunction("""COMPUTED_VALUE"""),"CRECHE CIRANDA CIRANDINHA")</f>
        <v>CRECHE CIRANDA CIRANDINHA</v>
      </c>
      <c r="D277" s="3" t="str">
        <f>IFERROR(__xludf.dummyfunction("""COMPUTED_VALUE"""),"26156270")</f>
        <v>26156270</v>
      </c>
      <c r="E277" s="3" t="str">
        <f>IFERROR(__xludf.dummyfunction("""COMPUTED_VALUE"""),"INFANTIL 1")</f>
        <v>INFANTIL 1</v>
      </c>
      <c r="F277" s="3" t="str">
        <f>IFERROR(__xludf.dummyfunction("""COMPUTED_VALUE"""),"Integral")</f>
        <v>Integral</v>
      </c>
      <c r="G277" s="3" t="str">
        <f>IFERROR(__xludf.dummyfunction("""COMPUTED_VALUE"""),"Comum")</f>
        <v>Comum</v>
      </c>
      <c r="H277" s="3" t="str">
        <f>IFERROR(__xludf.dummyfunction("""COMPUTED_VALUE"""),"6")</f>
        <v>6</v>
      </c>
      <c r="I277" s="147" t="str">
        <f>IFERROR(__xludf.dummyfunction("""COMPUTED_VALUE"""),"26072462864")</f>
        <v>26072462864</v>
      </c>
      <c r="J277" s="3" t="str">
        <f>IFERROR(__xludf.dummyfunction("""COMPUTED_VALUE"""),"15/07/2026 09:24:08")</f>
        <v>15/07/2026 09:24:08</v>
      </c>
      <c r="K277" s="3" t="str">
        <f>IFERROR(__xludf.dummyfunction("""COMPUTED_VALUE"""),"Aylla Maria de Souza Maranhão")</f>
        <v>Aylla Maria de Souza Maranhão</v>
      </c>
      <c r="L277" s="146" t="str">
        <f>IFERROR(__xludf.dummyfunction("""COMPUTED_VALUE"""),"015.416.684-72")</f>
        <v>015.416.684-72</v>
      </c>
      <c r="M277" s="146" t="str">
        <f>IFERROR(__xludf.dummyfunction("""COMPUTED_VALUE"""),"23/09/2025")</f>
        <v>23/09/2025</v>
      </c>
      <c r="N277" s="3"/>
      <c r="O277" s="3" t="str">
        <f>IFERROR(__xludf.dummyfunction("""COMPUTED_VALUE"""),"0")</f>
        <v>0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hidden="1" customHeight="1" spans="1:29">
      <c r="A278" s="3"/>
      <c r="B278" s="3" t="str">
        <f t="array" ref="B278">_xlfn.XLOOKUP(D278,Tabela_Dados_Esc_JAB_2026[INEP],Tabela_Dados_Esc_JAB_2026[REGIONAL],"NE",0)</f>
        <v>REGIONAL 1</v>
      </c>
      <c r="C278" s="4" t="str">
        <f>IFERROR(__xludf.dummyfunction("""COMPUTED_VALUE"""),"CRECHE CIRANDA CIRANDINHA")</f>
        <v>CRECHE CIRANDA CIRANDINHA</v>
      </c>
      <c r="D278" s="3" t="str">
        <f>IFERROR(__xludf.dummyfunction("""COMPUTED_VALUE"""),"26156270")</f>
        <v>26156270</v>
      </c>
      <c r="E278" s="3" t="str">
        <f>IFERROR(__xludf.dummyfunction("""COMPUTED_VALUE"""),"INFANTIL 1")</f>
        <v>INFANTIL 1</v>
      </c>
      <c r="F278" s="3" t="str">
        <f>IFERROR(__xludf.dummyfunction("""COMPUTED_VALUE"""),"Integral")</f>
        <v>Integral</v>
      </c>
      <c r="G278" s="3" t="str">
        <f>IFERROR(__xludf.dummyfunction("""COMPUTED_VALUE"""),"Comum")</f>
        <v>Comum</v>
      </c>
      <c r="H278" s="3" t="str">
        <f>IFERROR(__xludf.dummyfunction("""COMPUTED_VALUE"""),"7")</f>
        <v>7</v>
      </c>
      <c r="I278" s="147" t="str">
        <f>IFERROR(__xludf.dummyfunction("""COMPUTED_VALUE"""),"26092035058")</f>
        <v>26092035058</v>
      </c>
      <c r="J278" s="3" t="str">
        <f>IFERROR(__xludf.dummyfunction("""COMPUTED_VALUE"""),"13/09/2026 22:23:43")</f>
        <v>13/09/2026 22:23:43</v>
      </c>
      <c r="K278" s="3" t="str">
        <f>IFERROR(__xludf.dummyfunction("""COMPUTED_VALUE"""),"Yago Gabriel gomes Santana")</f>
        <v>Yago Gabriel gomes Santana</v>
      </c>
      <c r="L278" s="146" t="str">
        <f>IFERROR(__xludf.dummyfunction("""COMPUTED_VALUE"""),"048.877.354-72")</f>
        <v>048.877.354-72</v>
      </c>
      <c r="M278" s="146" t="str">
        <f>IFERROR(__xludf.dummyfunction("""COMPUTED_VALUE"""),"11/02/2026")</f>
        <v>11/02/2026</v>
      </c>
      <c r="N278" s="3"/>
      <c r="O278" s="3" t="str">
        <f>IFERROR(__xludf.dummyfunction("""COMPUTED_VALUE"""),"0")</f>
        <v>0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hidden="1" customHeight="1" spans="1:29">
      <c r="A279" s="3"/>
      <c r="B279" s="3" t="str">
        <f t="array" ref="B279">_xlfn.XLOOKUP(D279,Tabela_Dados_Esc_JAB_2026[INEP],Tabela_Dados_Esc_JAB_2026[REGIONAL],"NE",0)</f>
        <v>REGIONAL 1</v>
      </c>
      <c r="C279" s="4" t="str">
        <f>IFERROR(__xludf.dummyfunction("""COMPUTED_VALUE"""),"CRECHE CIRANDA CIRANDINHA")</f>
        <v>CRECHE CIRANDA CIRANDINHA</v>
      </c>
      <c r="D279" s="3" t="str">
        <f>IFERROR(__xludf.dummyfunction("""COMPUTED_VALUE"""),"26156270")</f>
        <v>26156270</v>
      </c>
      <c r="E279" s="3" t="str">
        <f>IFERROR(__xludf.dummyfunction("""COMPUTED_VALUE"""),"INFANTIL 1")</f>
        <v>INFANTIL 1</v>
      </c>
      <c r="F279" s="3" t="str">
        <f>IFERROR(__xludf.dummyfunction("""COMPUTED_VALUE"""),"Integral")</f>
        <v>Integral</v>
      </c>
      <c r="G279" s="3" t="str">
        <f>IFERROR(__xludf.dummyfunction("""COMPUTED_VALUE"""),"Comum")</f>
        <v>Comum</v>
      </c>
      <c r="H279" s="3" t="str">
        <f>IFERROR(__xludf.dummyfunction("""COMPUTED_VALUE"""),"8")</f>
        <v>8</v>
      </c>
      <c r="I279" s="147" t="str">
        <f>IFERROR(__xludf.dummyfunction("""COMPUTED_VALUE"""),"26092692963")</f>
        <v>26092692963</v>
      </c>
      <c r="J279" s="3" t="str">
        <f>IFERROR(__xludf.dummyfunction("""COMPUTED_VALUE"""),"22/09/2026 15:25:56")</f>
        <v>22/09/2026 15:25:56</v>
      </c>
      <c r="K279" s="3" t="str">
        <f>IFERROR(__xludf.dummyfunction("""COMPUTED_VALUE"""),"Jean Jair Da Silva Pinho Nunes")</f>
        <v>Jean Jair Da Silva Pinho Nunes</v>
      </c>
      <c r="L279" s="146" t="str">
        <f>IFERROR(__xludf.dummyfunction("""COMPUTED_VALUE"""),"005.169.974-59")</f>
        <v>005.169.974-59</v>
      </c>
      <c r="M279" s="146" t="str">
        <f>IFERROR(__xludf.dummyfunction("""COMPUTED_VALUE"""),"01/12/2024")</f>
        <v>01/12/2024</v>
      </c>
      <c r="N279" s="3"/>
      <c r="O279" s="3" t="str">
        <f>IFERROR(__xludf.dummyfunction("""COMPUTED_VALUE"""),"0")</f>
        <v>0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hidden="1" customHeight="1" spans="1:29">
      <c r="A280" s="3"/>
      <c r="B280" s="3" t="str">
        <f t="array" ref="B280">_xlfn.XLOOKUP(D280,Tabela_Dados_Esc_JAB_2026[INEP],Tabela_Dados_Esc_JAB_2026[REGIONAL],"NE",0)</f>
        <v>REGIONAL 1</v>
      </c>
      <c r="C280" s="4" t="str">
        <f>IFERROR(__xludf.dummyfunction("""COMPUTED_VALUE"""),"CRECHE CIRANDA CIRANDINHA")</f>
        <v>CRECHE CIRANDA CIRANDINHA</v>
      </c>
      <c r="D280" s="3" t="str">
        <f>IFERROR(__xludf.dummyfunction("""COMPUTED_VALUE"""),"26156270")</f>
        <v>26156270</v>
      </c>
      <c r="E280" s="3" t="str">
        <f>IFERROR(__xludf.dummyfunction("""COMPUTED_VALUE"""),"INFANTIL 2")</f>
        <v>INFANTIL 2</v>
      </c>
      <c r="F280" s="3" t="str">
        <f>IFERROR(__xludf.dummyfunction("""COMPUTED_VALUE"""),"Integral")</f>
        <v>Integral</v>
      </c>
      <c r="G280" s="3" t="str">
        <f>IFERROR(__xludf.dummyfunction("""COMPUTED_VALUE"""),"Comum")</f>
        <v>Comum</v>
      </c>
      <c r="H280" s="3" t="str">
        <f>IFERROR(__xludf.dummyfunction("""COMPUTED_VALUE"""),"1")</f>
        <v>1</v>
      </c>
      <c r="I280" s="147" t="str">
        <f>IFERROR(__xludf.dummyfunction("""COMPUTED_VALUE"""),"26022989976")</f>
        <v>26022989976</v>
      </c>
      <c r="J280" s="3" t="str">
        <f>IFERROR(__xludf.dummyfunction("""COMPUTED_VALUE"""),"02/02/2026 14:50:25")</f>
        <v>02/02/2026 14:50:25</v>
      </c>
      <c r="K280" s="3" t="str">
        <f>IFERROR(__xludf.dummyfunction("""COMPUTED_VALUE"""),"ALYCIA THAUANA ALBUQUERQUE MOURA DE MELO")</f>
        <v>ALYCIA THAUANA ALBUQUERQUE MOURA DE MELO</v>
      </c>
      <c r="L280" s="146" t="str">
        <f>IFERROR(__xludf.dummyfunction("""COMPUTED_VALUE"""),"000.874.154-96")</f>
        <v>000.874.154-96</v>
      </c>
      <c r="M280" s="146" t="str">
        <f>IFERROR(__xludf.dummyfunction("""COMPUTED_VALUE"""),"04/10/2023")</f>
        <v>04/10/2023</v>
      </c>
      <c r="N280" s="3"/>
      <c r="O280" s="3" t="str">
        <f>IFERROR(__xludf.dummyfunction("""COMPUTED_VALUE"""),"0")</f>
        <v>0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hidden="1" customHeight="1" spans="1:29">
      <c r="A281" s="3"/>
      <c r="B281" s="3" t="str">
        <f t="array" ref="B281">_xlfn.XLOOKUP(D281,Tabela_Dados_Esc_JAB_2026[INEP],Tabela_Dados_Esc_JAB_2026[REGIONAL],"NE",0)</f>
        <v>REGIONAL 1</v>
      </c>
      <c r="C281" s="4" t="str">
        <f>IFERROR(__xludf.dummyfunction("""COMPUTED_VALUE"""),"CRECHE CIRANDA CIRANDINHA")</f>
        <v>CRECHE CIRANDA CIRANDINHA</v>
      </c>
      <c r="D281" s="3" t="str">
        <f>IFERROR(__xludf.dummyfunction("""COMPUTED_VALUE"""),"26156270")</f>
        <v>26156270</v>
      </c>
      <c r="E281" s="3" t="str">
        <f>IFERROR(__xludf.dummyfunction("""COMPUTED_VALUE"""),"INFANTIL 2")</f>
        <v>INFANTIL 2</v>
      </c>
      <c r="F281" s="3" t="str">
        <f>IFERROR(__xludf.dummyfunction("""COMPUTED_VALUE"""),"Integral")</f>
        <v>Integral</v>
      </c>
      <c r="G281" s="3" t="str">
        <f>IFERROR(__xludf.dummyfunction("""COMPUTED_VALUE"""),"Comum")</f>
        <v>Comum</v>
      </c>
      <c r="H281" s="3" t="str">
        <f>IFERROR(__xludf.dummyfunction("""COMPUTED_VALUE"""),"2")</f>
        <v>2</v>
      </c>
      <c r="I281" s="147" t="str">
        <f>IFERROR(__xludf.dummyfunction("""COMPUTED_VALUE"""),"26022840134")</f>
        <v>26022840134</v>
      </c>
      <c r="J281" s="3" t="str">
        <f>IFERROR(__xludf.dummyfunction("""COMPUTED_VALUE"""),"09/02/2026 08:21:00")</f>
        <v>09/02/2026 08:21:00</v>
      </c>
      <c r="K281" s="3" t="str">
        <f>IFERROR(__xludf.dummyfunction("""COMPUTED_VALUE"""),"ELOÁH VITORIA GOMES VASCONCELOS")</f>
        <v>ELOÁH VITORIA GOMES VASCONCELOS</v>
      </c>
      <c r="L281" s="146" t="str">
        <f>IFERROR(__xludf.dummyfunction("""COMPUTED_VALUE"""),"186.021.224-70")</f>
        <v>186.021.224-70</v>
      </c>
      <c r="M281" s="146" t="str">
        <f>IFERROR(__xludf.dummyfunction("""COMPUTED_VALUE"""),"15/07/2023")</f>
        <v>15/07/2023</v>
      </c>
      <c r="N281" s="3"/>
      <c r="O281" s="3" t="str">
        <f>IFERROR(__xludf.dummyfunction("""COMPUTED_VALUE"""),"0")</f>
        <v>0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hidden="1" customHeight="1" spans="1:29">
      <c r="A282" s="3"/>
      <c r="B282" s="3" t="str">
        <f t="array" ref="B282">_xlfn.XLOOKUP(D282,Tabela_Dados_Esc_JAB_2026[INEP],Tabela_Dados_Esc_JAB_2026[REGIONAL],"NE",0)</f>
        <v>REGIONAL 1</v>
      </c>
      <c r="C282" s="4" t="str">
        <f>IFERROR(__xludf.dummyfunction("""COMPUTED_VALUE"""),"CRECHE CIRANDA CIRANDINHA")</f>
        <v>CRECHE CIRANDA CIRANDINHA</v>
      </c>
      <c r="D282" s="3" t="str">
        <f>IFERROR(__xludf.dummyfunction("""COMPUTED_VALUE"""),"26156270")</f>
        <v>26156270</v>
      </c>
      <c r="E282" s="3" t="str">
        <f>IFERROR(__xludf.dummyfunction("""COMPUTED_VALUE"""),"INFANTIL 2")</f>
        <v>INFANTIL 2</v>
      </c>
      <c r="F282" s="3" t="str">
        <f>IFERROR(__xludf.dummyfunction("""COMPUTED_VALUE"""),"Integral")</f>
        <v>Integral</v>
      </c>
      <c r="G282" s="3" t="str">
        <f>IFERROR(__xludf.dummyfunction("""COMPUTED_VALUE"""),"Comum")</f>
        <v>Comum</v>
      </c>
      <c r="H282" s="3" t="str">
        <f>IFERROR(__xludf.dummyfunction("""COMPUTED_VALUE"""),"3")</f>
        <v>3</v>
      </c>
      <c r="I282" s="145" t="str">
        <f>IFERROR(__xludf.dummyfunction("""COMPUTED_VALUE"""),"26092097268")</f>
        <v>26092097268</v>
      </c>
      <c r="J282" s="3" t="str">
        <f>IFERROR(__xludf.dummyfunction("""COMPUTED_VALUE"""),"22/09/2026 14:54:21")</f>
        <v>22/09/2026 14:54:21</v>
      </c>
      <c r="K282" s="3" t="str">
        <f>IFERROR(__xludf.dummyfunction("""COMPUTED_VALUE"""),"Aylla Heloise Da Silva Nunes")</f>
        <v>Aylla Heloise Da Silva Nunes</v>
      </c>
      <c r="L282" s="146" t="str">
        <f>IFERROR(__xludf.dummyfunction("""COMPUTED_VALUE"""),"000.837.684-08")</f>
        <v>000.837.684-08</v>
      </c>
      <c r="M282" s="146" t="str">
        <f>IFERROR(__xludf.dummyfunction("""COMPUTED_VALUE"""),"30/07/2023")</f>
        <v>30/07/2023</v>
      </c>
      <c r="N282" s="3"/>
      <c r="O282" s="3" t="str">
        <f>IFERROR(__xludf.dummyfunction("""COMPUTED_VALUE"""),"0")</f>
        <v>0</v>
      </c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hidden="1" customHeight="1" spans="1:29">
      <c r="A283" s="3"/>
      <c r="B283" s="3" t="str">
        <f t="array" ref="B283">_xlfn.XLOOKUP(D283,Tabela_Dados_Esc_JAB_2026[INEP],Tabela_Dados_Esc_JAB_2026[REGIONAL],"NE",0)</f>
        <v>REGIONAL 1</v>
      </c>
      <c r="C283" s="4" t="str">
        <f>IFERROR(__xludf.dummyfunction("""COMPUTED_VALUE"""),"CRECHE CIRANDA CIRANDINHA")</f>
        <v>CRECHE CIRANDA CIRANDINHA</v>
      </c>
      <c r="D283" s="3" t="str">
        <f>IFERROR(__xludf.dummyfunction("""COMPUTED_VALUE"""),"26156270")</f>
        <v>26156270</v>
      </c>
      <c r="E283" s="3" t="str">
        <f>IFERROR(__xludf.dummyfunction("""COMPUTED_VALUE"""),"INFANTIL 3")</f>
        <v>INFANTIL 3</v>
      </c>
      <c r="F283" s="3" t="str">
        <f>IFERROR(__xludf.dummyfunction("""COMPUTED_VALUE"""),"Integral")</f>
        <v>Integral</v>
      </c>
      <c r="G283" s="3" t="str">
        <f>IFERROR(__xludf.dummyfunction("""COMPUTED_VALUE"""),"Comum")</f>
        <v>Comum</v>
      </c>
      <c r="H283" s="3" t="str">
        <f>IFERROR(__xludf.dummyfunction("""COMPUTED_VALUE"""),"1")</f>
        <v>1</v>
      </c>
      <c r="I283" s="145" t="str">
        <f>IFERROR(__xludf.dummyfunction("""COMPUTED_VALUE"""),"26022737699")</f>
        <v>26022737699</v>
      </c>
      <c r="J283" s="3" t="str">
        <f>IFERROR(__xludf.dummyfunction("""COMPUTED_VALUE"""),"26/02/2026 23:38:28")</f>
        <v>26/02/2026 23:38:28</v>
      </c>
      <c r="K283" s="3" t="str">
        <f>IFERROR(__xludf.dummyfunction("""COMPUTED_VALUE"""),"CALEFFI EPITACIO DOS SANTOS ROCHA")</f>
        <v>CALEFFI EPITACIO DOS SANTOS ROCHA</v>
      </c>
      <c r="L283" s="146" t="str">
        <f>IFERROR(__xludf.dummyfunction("""COMPUTED_VALUE"""),"181.851.404-48")</f>
        <v>181.851.404-48</v>
      </c>
      <c r="M283" s="146" t="str">
        <f>IFERROR(__xludf.dummyfunction("""COMPUTED_VALUE"""),"04/06/2022")</f>
        <v>04/06/2022</v>
      </c>
      <c r="N283" s="3"/>
      <c r="O283" s="3" t="str">
        <f>IFERROR(__xludf.dummyfunction("""COMPUTED_VALUE"""),"0")</f>
        <v>0</v>
      </c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hidden="1" customHeight="1" spans="1:29">
      <c r="A284" s="3"/>
      <c r="B284" s="3" t="str">
        <f t="array" ref="B284">_xlfn.XLOOKUP(D284,Tabela_Dados_Esc_JAB_2026[INEP],Tabela_Dados_Esc_JAB_2026[REGIONAL],"NE",0)</f>
        <v>REGIONAL 1</v>
      </c>
      <c r="C284" s="4" t="str">
        <f>IFERROR(__xludf.dummyfunction("""COMPUTED_VALUE"""),"CRECHE CIRANDA CIRANDINHA")</f>
        <v>CRECHE CIRANDA CIRANDINHA</v>
      </c>
      <c r="D284" s="3" t="str">
        <f>IFERROR(__xludf.dummyfunction("""COMPUTED_VALUE"""),"26156270")</f>
        <v>26156270</v>
      </c>
      <c r="E284" s="3" t="str">
        <f>IFERROR(__xludf.dummyfunction("""COMPUTED_VALUE"""),"INFANTIL 3")</f>
        <v>INFANTIL 3</v>
      </c>
      <c r="F284" s="3" t="str">
        <f>IFERROR(__xludf.dummyfunction("""COMPUTED_VALUE"""),"Integral")</f>
        <v>Integral</v>
      </c>
      <c r="G284" s="3" t="str">
        <f>IFERROR(__xludf.dummyfunction("""COMPUTED_VALUE"""),"Comum")</f>
        <v>Comum</v>
      </c>
      <c r="H284" s="3" t="str">
        <f>IFERROR(__xludf.dummyfunction("""COMPUTED_VALUE"""),"2")</f>
        <v>2</v>
      </c>
      <c r="I284" s="145" t="str">
        <f>IFERROR(__xludf.dummyfunction("""COMPUTED_VALUE"""),"26032705984")</f>
        <v>26032705984</v>
      </c>
      <c r="J284" s="3" t="str">
        <f>IFERROR(__xludf.dummyfunction("""COMPUTED_VALUE"""),"24/03/2026 10:37:29")</f>
        <v>24/03/2026 10:37:29</v>
      </c>
      <c r="K284" s="3" t="str">
        <f>IFERROR(__xludf.dummyfunction("""COMPUTED_VALUE"""),"RICARDO MATEUS SILVA CAVALCANTE FELIX")</f>
        <v>RICARDO MATEUS SILVA CAVALCANTE FELIX</v>
      </c>
      <c r="L284" s="146" t="str">
        <f>IFERROR(__xludf.dummyfunction("""COMPUTED_VALUE"""),"182.595.494-17")</f>
        <v>182.595.494-17</v>
      </c>
      <c r="M284" s="146" t="str">
        <f>IFERROR(__xludf.dummyfunction("""COMPUTED_VALUE"""),"20/08/2022")</f>
        <v>20/08/2022</v>
      </c>
      <c r="N284" s="3"/>
      <c r="O284" s="3" t="str">
        <f>IFERROR(__xludf.dummyfunction("""COMPUTED_VALUE"""),"0")</f>
        <v>0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hidden="1" customHeight="1" spans="1:29">
      <c r="A285" s="3"/>
      <c r="B285" s="3" t="str">
        <f t="array" ref="B285">_xlfn.XLOOKUP(D285,Tabela_Dados_Esc_JAB_2026[INEP],Tabela_Dados_Esc_JAB_2026[REGIONAL],"NE",0)</f>
        <v>REGIONAL 1</v>
      </c>
      <c r="C285" s="4" t="str">
        <f>IFERROR(__xludf.dummyfunction("""COMPUTED_VALUE"""),"CRECHE CIRANDA CIRANDINHA")</f>
        <v>CRECHE CIRANDA CIRANDINHA</v>
      </c>
      <c r="D285" s="3" t="str">
        <f>IFERROR(__xludf.dummyfunction("""COMPUTED_VALUE"""),"26156270")</f>
        <v>26156270</v>
      </c>
      <c r="E285" s="3" t="str">
        <f>IFERROR(__xludf.dummyfunction("""COMPUTED_VALUE"""),"INFANTIL 3")</f>
        <v>INFANTIL 3</v>
      </c>
      <c r="F285" s="3" t="str">
        <f>IFERROR(__xludf.dummyfunction("""COMPUTED_VALUE"""),"Integral")</f>
        <v>Integral</v>
      </c>
      <c r="G285" s="3" t="str">
        <f>IFERROR(__xludf.dummyfunction("""COMPUTED_VALUE"""),"Comum")</f>
        <v>Comum</v>
      </c>
      <c r="H285" s="3" t="str">
        <f>IFERROR(__xludf.dummyfunction("""COMPUTED_VALUE"""),"3")</f>
        <v>3</v>
      </c>
      <c r="I285" s="145" t="str">
        <f>IFERROR(__xludf.dummyfunction("""COMPUTED_VALUE"""),"26042105285")</f>
        <v>26042105285</v>
      </c>
      <c r="J285" s="3" t="str">
        <f>IFERROR(__xludf.dummyfunction("""COMPUTED_VALUE"""),"23/04/2026 12:52:15")</f>
        <v>23/04/2026 12:52:15</v>
      </c>
      <c r="K285" s="3" t="str">
        <f>IFERROR(__xludf.dummyfunction("""COMPUTED_VALUE"""),"YKARO MIGUEL DA SILVA GONÇALVES")</f>
        <v>YKARO MIGUEL DA SILVA GONÇALVES</v>
      </c>
      <c r="L285" s="146" t="str">
        <f>IFERROR(__xludf.dummyfunction("""COMPUTED_VALUE"""),"181.678.504-04")</f>
        <v>181.678.504-04</v>
      </c>
      <c r="M285" s="146" t="str">
        <f>IFERROR(__xludf.dummyfunction("""COMPUTED_VALUE"""),"20/05/2022")</f>
        <v>20/05/2022</v>
      </c>
      <c r="N285" s="3"/>
      <c r="O285" s="3" t="str">
        <f>IFERROR(__xludf.dummyfunction("""COMPUTED_VALUE"""),"0")</f>
        <v>0</v>
      </c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hidden="1" customHeight="1" spans="1:29">
      <c r="A286" s="3"/>
      <c r="B286" s="3" t="str">
        <f t="array" ref="B286">_xlfn.XLOOKUP(D286,Tabela_Dados_Esc_JAB_2026[INEP],Tabela_Dados_Esc_JAB_2026[REGIONAL],"NE",0)</f>
        <v>REGIONAL 6</v>
      </c>
      <c r="C286" s="4" t="str">
        <f>IFERROR(__xludf.dummyfunction("""COMPUTED_VALUE"""),"CRECHE MERCIA DE ALBUQUERQUE")</f>
        <v>CRECHE MERCIA DE ALBUQUERQUE</v>
      </c>
      <c r="D286" s="3" t="str">
        <f>IFERROR(__xludf.dummyfunction("""COMPUTED_VALUE"""),"26187663")</f>
        <v>26187663</v>
      </c>
      <c r="E286" s="3" t="str">
        <f>IFERROR(__xludf.dummyfunction("""COMPUTED_VALUE"""),"INFANTIL 1")</f>
        <v>INFANTIL 1</v>
      </c>
      <c r="F286" s="3" t="str">
        <f>IFERROR(__xludf.dummyfunction("""COMPUTED_VALUE"""),"Integral")</f>
        <v>Integral</v>
      </c>
      <c r="G286" s="3" t="str">
        <f>IFERROR(__xludf.dummyfunction("""COMPUTED_VALUE"""),"Comum")</f>
        <v>Comum</v>
      </c>
      <c r="H286" s="3" t="str">
        <f>IFERROR(__xludf.dummyfunction("""COMPUTED_VALUE"""),"1")</f>
        <v>1</v>
      </c>
      <c r="I286" s="147" t="str">
        <f>IFERROR(__xludf.dummyfunction("""COMPUTED_VALUE"""),"26042875517")</f>
        <v>26042875517</v>
      </c>
      <c r="J286" s="3" t="str">
        <f>IFERROR(__xludf.dummyfunction("""COMPUTED_VALUE"""),"11/04/2026 18:35:35")</f>
        <v>11/04/2026 18:35:35</v>
      </c>
      <c r="K286" s="3" t="str">
        <f>IFERROR(__xludf.dummyfunction("""COMPUTED_VALUE"""),"ESTHER GABRIELY OLIVEIRA DA SILVA")</f>
        <v>ESTHER GABRIELY OLIVEIRA DA SILVA</v>
      </c>
      <c r="L286" s="146" t="str">
        <f>IFERROR(__xludf.dummyfunction("""COMPUTED_VALUE"""),"713.786.274-82")</f>
        <v>713.786.274-82</v>
      </c>
      <c r="M286" s="146" t="str">
        <f>IFERROR(__xludf.dummyfunction("""COMPUTED_VALUE"""),"24/08/2025")</f>
        <v>24/08/2025</v>
      </c>
      <c r="N286" s="3"/>
      <c r="O286" s="3" t="str">
        <f>IFERROR(__xludf.dummyfunction("""COMPUTED_VALUE"""),"0")</f>
        <v>0</v>
      </c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hidden="1" customHeight="1" spans="1:29">
      <c r="A287" s="3"/>
      <c r="B287" s="3" t="str">
        <f t="array" ref="B287">_xlfn.XLOOKUP(D287,Tabela_Dados_Esc_JAB_2026[INEP],Tabela_Dados_Esc_JAB_2026[REGIONAL],"NE",0)</f>
        <v>REGIONAL 6</v>
      </c>
      <c r="C287" s="4" t="str">
        <f>IFERROR(__xludf.dummyfunction("""COMPUTED_VALUE"""),"CRECHE MERCIA DE ALBUQUERQUE")</f>
        <v>CRECHE MERCIA DE ALBUQUERQUE</v>
      </c>
      <c r="D287" s="3" t="str">
        <f>IFERROR(__xludf.dummyfunction("""COMPUTED_VALUE"""),"26187663")</f>
        <v>26187663</v>
      </c>
      <c r="E287" s="3" t="str">
        <f>IFERROR(__xludf.dummyfunction("""COMPUTED_VALUE"""),"INFANTIL 1")</f>
        <v>INFANTIL 1</v>
      </c>
      <c r="F287" s="3" t="str">
        <f>IFERROR(__xludf.dummyfunction("""COMPUTED_VALUE"""),"Integral")</f>
        <v>Integral</v>
      </c>
      <c r="G287" s="3" t="str">
        <f>IFERROR(__xludf.dummyfunction("""COMPUTED_VALUE"""),"Comum")</f>
        <v>Comum</v>
      </c>
      <c r="H287" s="3" t="str">
        <f>IFERROR(__xludf.dummyfunction("""COMPUTED_VALUE"""),"2")</f>
        <v>2</v>
      </c>
      <c r="I287" s="145" t="str">
        <f>IFERROR(__xludf.dummyfunction("""COMPUTED_VALUE"""),"26052004245")</f>
        <v>26052004245</v>
      </c>
      <c r="J287" s="3" t="str">
        <f>IFERROR(__xludf.dummyfunction("""COMPUTED_VALUE"""),"04/05/2026 08:16:27")</f>
        <v>04/05/2026 08:16:27</v>
      </c>
      <c r="K287" s="3" t="str">
        <f>IFERROR(__xludf.dummyfunction("""COMPUTED_VALUE"""),"KAIC CAINAN TOBIAS LEITE BOMFIM")</f>
        <v>KAIC CAINAN TOBIAS LEITE BOMFIM</v>
      </c>
      <c r="L287" s="146" t="str">
        <f>IFERROR(__xludf.dummyfunction("""COMPUTED_VALUE"""),"003.941.314-44")</f>
        <v>003.941.314-44</v>
      </c>
      <c r="M287" s="146" t="str">
        <f>IFERROR(__xludf.dummyfunction("""COMPUTED_VALUE"""),"24/08/2024")</f>
        <v>24/08/2024</v>
      </c>
      <c r="N287" s="3"/>
      <c r="O287" s="3" t="str">
        <f>IFERROR(__xludf.dummyfunction("""COMPUTED_VALUE"""),"0")</f>
        <v>0</v>
      </c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hidden="1" customHeight="1" spans="1:29">
      <c r="A288" s="3"/>
      <c r="B288" s="3" t="str">
        <f t="array" ref="B288">_xlfn.XLOOKUP(D288,Tabela_Dados_Esc_JAB_2026[INEP],Tabela_Dados_Esc_JAB_2026[REGIONAL],"NE",0)</f>
        <v>REGIONAL 6</v>
      </c>
      <c r="C288" s="4" t="str">
        <f>IFERROR(__xludf.dummyfunction("""COMPUTED_VALUE"""),"CRECHE MERCIA DE ALBUQUERQUE")</f>
        <v>CRECHE MERCIA DE ALBUQUERQUE</v>
      </c>
      <c r="D288" s="3" t="str">
        <f>IFERROR(__xludf.dummyfunction("""COMPUTED_VALUE"""),"26187663")</f>
        <v>26187663</v>
      </c>
      <c r="E288" s="3" t="str">
        <f>IFERROR(__xludf.dummyfunction("""COMPUTED_VALUE"""),"INFANTIL 1")</f>
        <v>INFANTIL 1</v>
      </c>
      <c r="F288" s="3" t="str">
        <f>IFERROR(__xludf.dummyfunction("""COMPUTED_VALUE"""),"Integral")</f>
        <v>Integral</v>
      </c>
      <c r="G288" s="3" t="str">
        <f>IFERROR(__xludf.dummyfunction("""COMPUTED_VALUE"""),"Comum")</f>
        <v>Comum</v>
      </c>
      <c r="H288" s="3" t="str">
        <f>IFERROR(__xludf.dummyfunction("""COMPUTED_VALUE"""),"3")</f>
        <v>3</v>
      </c>
      <c r="I288" s="147" t="str">
        <f>IFERROR(__xludf.dummyfunction("""COMPUTED_VALUE"""),"26052161645")</f>
        <v>26052161645</v>
      </c>
      <c r="J288" s="3" t="str">
        <f>IFERROR(__xludf.dummyfunction("""COMPUTED_VALUE"""),"21/05/2026 14:53:13")</f>
        <v>21/05/2026 14:53:13</v>
      </c>
      <c r="K288" s="3" t="str">
        <f>IFERROR(__xludf.dummyfunction("""COMPUTED_VALUE"""),"Erick Paes de Melo Ferreira")</f>
        <v>Erick Paes de Melo Ferreira</v>
      </c>
      <c r="L288" s="146" t="str">
        <f>IFERROR(__xludf.dummyfunction("""COMPUTED_VALUE"""),"034.993.594-72")</f>
        <v>034.993.594-72</v>
      </c>
      <c r="M288" s="146" t="str">
        <f>IFERROR(__xludf.dummyfunction("""COMPUTED_VALUE"""),"30/12/2025")</f>
        <v>30/12/2025</v>
      </c>
      <c r="N288" s="3"/>
      <c r="O288" s="3" t="str">
        <f>IFERROR(__xludf.dummyfunction("""COMPUTED_VALUE"""),"0")</f>
        <v>0</v>
      </c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hidden="1" customHeight="1" spans="1:29">
      <c r="A289" s="3"/>
      <c r="B289" s="3" t="str">
        <f t="array" ref="B289">_xlfn.XLOOKUP(D289,Tabela_Dados_Esc_JAB_2026[INEP],Tabela_Dados_Esc_JAB_2026[REGIONAL],"NE",0)</f>
        <v>REGIONAL 6</v>
      </c>
      <c r="C289" s="4" t="str">
        <f>IFERROR(__xludf.dummyfunction("""COMPUTED_VALUE"""),"CRECHE MERCIA DE ALBUQUERQUE")</f>
        <v>CRECHE MERCIA DE ALBUQUERQUE</v>
      </c>
      <c r="D289" s="3" t="str">
        <f>IFERROR(__xludf.dummyfunction("""COMPUTED_VALUE"""),"26187663")</f>
        <v>26187663</v>
      </c>
      <c r="E289" s="3" t="str">
        <f>IFERROR(__xludf.dummyfunction("""COMPUTED_VALUE"""),"INFANTIL 1")</f>
        <v>INFANTIL 1</v>
      </c>
      <c r="F289" s="3" t="str">
        <f>IFERROR(__xludf.dummyfunction("""COMPUTED_VALUE"""),"Integral")</f>
        <v>Integral</v>
      </c>
      <c r="G289" s="3" t="str">
        <f>IFERROR(__xludf.dummyfunction("""COMPUTED_VALUE"""),"Comum")</f>
        <v>Comum</v>
      </c>
      <c r="H289" s="3" t="str">
        <f>IFERROR(__xludf.dummyfunction("""COMPUTED_VALUE"""),"4")</f>
        <v>4</v>
      </c>
      <c r="I289" s="147" t="str">
        <f>IFERROR(__xludf.dummyfunction("""COMPUTED_VALUE"""),"26062215490")</f>
        <v>26062215490</v>
      </c>
      <c r="J289" s="3" t="str">
        <f>IFERROR(__xludf.dummyfunction("""COMPUTED_VALUE"""),"08/06/2026 13:47:18")</f>
        <v>08/06/2026 13:47:18</v>
      </c>
      <c r="K289" s="3" t="str">
        <f>IFERROR(__xludf.dummyfunction("""COMPUTED_VALUE"""),"Luís Miguel Barros Borges")</f>
        <v>Luís Miguel Barros Borges</v>
      </c>
      <c r="L289" s="146" t="str">
        <f>IFERROR(__xludf.dummyfunction("""COMPUTED_VALUE"""),"005.346.544-01")</f>
        <v>005.346.544-01</v>
      </c>
      <c r="M289" s="146" t="str">
        <f>IFERROR(__xludf.dummyfunction("""COMPUTED_VALUE"""),"11/02/2025")</f>
        <v>11/02/2025</v>
      </c>
      <c r="N289" s="3"/>
      <c r="O289" s="3" t="str">
        <f>IFERROR(__xludf.dummyfunction("""COMPUTED_VALUE"""),"0")</f>
        <v>0</v>
      </c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hidden="1" customHeight="1" spans="1:29">
      <c r="A290" s="3"/>
      <c r="B290" s="3" t="str">
        <f t="array" ref="B290">_xlfn.XLOOKUP(D290,Tabela_Dados_Esc_JAB_2026[INEP],Tabela_Dados_Esc_JAB_2026[REGIONAL],"NE",0)</f>
        <v>REGIONAL 6</v>
      </c>
      <c r="C290" s="4" t="str">
        <f>IFERROR(__xludf.dummyfunction("""COMPUTED_VALUE"""),"CRECHE MERCIA DE ALBUQUERQUE")</f>
        <v>CRECHE MERCIA DE ALBUQUERQUE</v>
      </c>
      <c r="D290" s="3" t="str">
        <f>IFERROR(__xludf.dummyfunction("""COMPUTED_VALUE"""),"26187663")</f>
        <v>26187663</v>
      </c>
      <c r="E290" s="3" t="str">
        <f>IFERROR(__xludf.dummyfunction("""COMPUTED_VALUE"""),"INFANTIL 1")</f>
        <v>INFANTIL 1</v>
      </c>
      <c r="F290" s="3" t="str">
        <f>IFERROR(__xludf.dummyfunction("""COMPUTED_VALUE"""),"Integral")</f>
        <v>Integral</v>
      </c>
      <c r="G290" s="3" t="str">
        <f>IFERROR(__xludf.dummyfunction("""COMPUTED_VALUE"""),"Comum")</f>
        <v>Comum</v>
      </c>
      <c r="H290" s="3" t="str">
        <f>IFERROR(__xludf.dummyfunction("""COMPUTED_VALUE"""),"5")</f>
        <v>5</v>
      </c>
      <c r="I290" s="147" t="str">
        <f>IFERROR(__xludf.dummyfunction("""COMPUTED_VALUE"""),"26072350852")</f>
        <v>26072350852</v>
      </c>
      <c r="J290" s="3" t="str">
        <f>IFERROR(__xludf.dummyfunction("""COMPUTED_VALUE"""),"13/07/2026 14:49:27")</f>
        <v>13/07/2026 14:49:27</v>
      </c>
      <c r="K290" s="3" t="str">
        <f>IFERROR(__xludf.dummyfunction("""COMPUTED_VALUE"""),"SAMUEL ABNER DOS SANTOS SILVA")</f>
        <v>SAMUEL ABNER DOS SANTOS SILVA</v>
      </c>
      <c r="L290" s="146" t="str">
        <f>IFERROR(__xludf.dummyfunction("""COMPUTED_VALUE"""),"002.835.994-13")</f>
        <v>002.835.994-13</v>
      </c>
      <c r="M290" s="146" t="str">
        <f>IFERROR(__xludf.dummyfunction("""COMPUTED_VALUE"""),"30/04/2024")</f>
        <v>30/04/2024</v>
      </c>
      <c r="N290" s="3"/>
      <c r="O290" s="3" t="str">
        <f>IFERROR(__xludf.dummyfunction("""COMPUTED_VALUE"""),"0")</f>
        <v>0</v>
      </c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hidden="1" customHeight="1" spans="1:29">
      <c r="A291" s="3"/>
      <c r="B291" s="3" t="str">
        <f t="array" ref="B291">_xlfn.XLOOKUP(D291,Tabela_Dados_Esc_JAB_2026[INEP],Tabela_Dados_Esc_JAB_2026[REGIONAL],"NE",0)</f>
        <v>REGIONAL 6</v>
      </c>
      <c r="C291" s="4" t="str">
        <f>IFERROR(__xludf.dummyfunction("""COMPUTED_VALUE"""),"CRECHE MERCIA DE ALBUQUERQUE")</f>
        <v>CRECHE MERCIA DE ALBUQUERQUE</v>
      </c>
      <c r="D291" s="3" t="str">
        <f>IFERROR(__xludf.dummyfunction("""COMPUTED_VALUE"""),"26187663")</f>
        <v>26187663</v>
      </c>
      <c r="E291" s="3" t="str">
        <f>IFERROR(__xludf.dummyfunction("""COMPUTED_VALUE"""),"INFANTIL 1")</f>
        <v>INFANTIL 1</v>
      </c>
      <c r="F291" s="3" t="str">
        <f>IFERROR(__xludf.dummyfunction("""COMPUTED_VALUE"""),"Integral")</f>
        <v>Integral</v>
      </c>
      <c r="G291" s="3" t="str">
        <f>IFERROR(__xludf.dummyfunction("""COMPUTED_VALUE"""),"Comum")</f>
        <v>Comum</v>
      </c>
      <c r="H291" s="3" t="str">
        <f>IFERROR(__xludf.dummyfunction("""COMPUTED_VALUE"""),"6")</f>
        <v>6</v>
      </c>
      <c r="I291" s="147" t="str">
        <f>IFERROR(__xludf.dummyfunction("""COMPUTED_VALUE"""),"26082640601")</f>
        <v>26082640601</v>
      </c>
      <c r="J291" s="3" t="str">
        <f>IFERROR(__xludf.dummyfunction("""COMPUTED_VALUE"""),"03/08/2026 09:52:52")</f>
        <v>03/08/2026 09:52:52</v>
      </c>
      <c r="K291" s="3" t="str">
        <f>IFERROR(__xludf.dummyfunction("""COMPUTED_VALUE"""),"Vicente Curvelo Barbosa")</f>
        <v>Vicente Curvelo Barbosa</v>
      </c>
      <c r="L291" s="146" t="str">
        <f>IFERROR(__xludf.dummyfunction("""COMPUTED_VALUE"""),"007.144.254-51")</f>
        <v>007.144.254-51</v>
      </c>
      <c r="M291" s="146" t="str">
        <f>IFERROR(__xludf.dummyfunction("""COMPUTED_VALUE"""),"19/08/2025")</f>
        <v>19/08/2025</v>
      </c>
      <c r="N291" s="3"/>
      <c r="O291" s="3" t="str">
        <f>IFERROR(__xludf.dummyfunction("""COMPUTED_VALUE"""),"0")</f>
        <v>0</v>
      </c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hidden="1" customHeight="1" spans="1:29">
      <c r="A292" s="3"/>
      <c r="B292" s="3" t="str">
        <f t="array" ref="B292">_xlfn.XLOOKUP(D292,Tabela_Dados_Esc_JAB_2026[INEP],Tabela_Dados_Esc_JAB_2026[REGIONAL],"NE",0)</f>
        <v>REGIONAL 6</v>
      </c>
      <c r="C292" s="4" t="str">
        <f>IFERROR(__xludf.dummyfunction("""COMPUTED_VALUE"""),"CRECHE MERCIA DE ALBUQUERQUE")</f>
        <v>CRECHE MERCIA DE ALBUQUERQUE</v>
      </c>
      <c r="D292" s="3" t="str">
        <f>IFERROR(__xludf.dummyfunction("""COMPUTED_VALUE"""),"26187663")</f>
        <v>26187663</v>
      </c>
      <c r="E292" s="3" t="str">
        <f>IFERROR(__xludf.dummyfunction("""COMPUTED_VALUE"""),"INFANTIL 1")</f>
        <v>INFANTIL 1</v>
      </c>
      <c r="F292" s="3" t="str">
        <f>IFERROR(__xludf.dummyfunction("""COMPUTED_VALUE"""),"Integral")</f>
        <v>Integral</v>
      </c>
      <c r="G292" s="3" t="str">
        <f>IFERROR(__xludf.dummyfunction("""COMPUTED_VALUE"""),"Comum")</f>
        <v>Comum</v>
      </c>
      <c r="H292" s="3" t="str">
        <f>IFERROR(__xludf.dummyfunction("""COMPUTED_VALUE"""),"7")</f>
        <v>7</v>
      </c>
      <c r="I292" s="147" t="str">
        <f>IFERROR(__xludf.dummyfunction("""COMPUTED_VALUE"""),"26082932116")</f>
        <v>26082932116</v>
      </c>
      <c r="J292" s="3" t="str">
        <f>IFERROR(__xludf.dummyfunction("""COMPUTED_VALUE"""),"26/08/2026 17:16:19")</f>
        <v>26/08/2026 17:16:19</v>
      </c>
      <c r="K292" s="3" t="str">
        <f>IFERROR(__xludf.dummyfunction("""COMPUTED_VALUE"""),"Luna Gabriele Lima da Silva")</f>
        <v>Luna Gabriele Lima da Silva</v>
      </c>
      <c r="L292" s="146" t="str">
        <f>IFERROR(__xludf.dummyfunction("""COMPUTED_VALUE"""),"003.475.334-69")</f>
        <v>003.475.334-69</v>
      </c>
      <c r="M292" s="146" t="str">
        <f>IFERROR(__xludf.dummyfunction("""COMPUTED_VALUE"""),"15/06/2024")</f>
        <v>15/06/2024</v>
      </c>
      <c r="N292" s="3"/>
      <c r="O292" s="3" t="str">
        <f>IFERROR(__xludf.dummyfunction("""COMPUTED_VALUE"""),"0")</f>
        <v>0</v>
      </c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hidden="1" customHeight="1" spans="1:29">
      <c r="A293" s="3"/>
      <c r="B293" s="3" t="str">
        <f t="array" ref="B293">_xlfn.XLOOKUP(D293,Tabela_Dados_Esc_JAB_2026[INEP],Tabela_Dados_Esc_JAB_2026[REGIONAL],"NE",0)</f>
        <v>REGIONAL 6</v>
      </c>
      <c r="C293" s="4" t="str">
        <f>IFERROR(__xludf.dummyfunction("""COMPUTED_VALUE"""),"CRECHE MERCIA DE ALBUQUERQUE")</f>
        <v>CRECHE MERCIA DE ALBUQUERQUE</v>
      </c>
      <c r="D293" s="3" t="str">
        <f>IFERROR(__xludf.dummyfunction("""COMPUTED_VALUE"""),"26187663")</f>
        <v>26187663</v>
      </c>
      <c r="E293" s="3" t="str">
        <f>IFERROR(__xludf.dummyfunction("""COMPUTED_VALUE"""),"INFANTIL 1")</f>
        <v>INFANTIL 1</v>
      </c>
      <c r="F293" s="3" t="str">
        <f>IFERROR(__xludf.dummyfunction("""COMPUTED_VALUE"""),"Integral")</f>
        <v>Integral</v>
      </c>
      <c r="G293" s="3" t="str">
        <f>IFERROR(__xludf.dummyfunction("""COMPUTED_VALUE"""),"Comum")</f>
        <v>Comum</v>
      </c>
      <c r="H293" s="3" t="str">
        <f>IFERROR(__xludf.dummyfunction("""COMPUTED_VALUE"""),"8")</f>
        <v>8</v>
      </c>
      <c r="I293" s="147" t="str">
        <f>IFERROR(__xludf.dummyfunction("""COMPUTED_VALUE"""),"26082702954")</f>
        <v>26082702954</v>
      </c>
      <c r="J293" s="3" t="str">
        <f>IFERROR(__xludf.dummyfunction("""COMPUTED_VALUE"""),"28/08/2026 12:21:08")</f>
        <v>28/08/2026 12:21:08</v>
      </c>
      <c r="K293" s="3" t="str">
        <f>IFERROR(__xludf.dummyfunction("""COMPUTED_VALUE"""),"Maria Helena dos santos nascimento")</f>
        <v>Maria Helena dos santos nascimento</v>
      </c>
      <c r="L293" s="146" t="str">
        <f>IFERROR(__xludf.dummyfunction("""COMPUTED_VALUE"""),"071.713.234-04")</f>
        <v>071.713.234-04</v>
      </c>
      <c r="M293" s="146" t="str">
        <f>IFERROR(__xludf.dummyfunction("""COMPUTED_VALUE"""),"13/01/2026")</f>
        <v>13/01/2026</v>
      </c>
      <c r="N293" s="3"/>
      <c r="O293" s="3" t="str">
        <f>IFERROR(__xludf.dummyfunction("""COMPUTED_VALUE"""),"0")</f>
        <v>0</v>
      </c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hidden="1" customHeight="1" spans="1:29">
      <c r="A294" s="3"/>
      <c r="B294" s="3" t="str">
        <f t="array" ref="B294">_xlfn.XLOOKUP(D294,Tabela_Dados_Esc_JAB_2026[INEP],Tabela_Dados_Esc_JAB_2026[REGIONAL],"NE",0)</f>
        <v>REGIONAL 6</v>
      </c>
      <c r="C294" s="4" t="str">
        <f>IFERROR(__xludf.dummyfunction("""COMPUTED_VALUE"""),"CRECHE MERCIA DE ALBUQUERQUE")</f>
        <v>CRECHE MERCIA DE ALBUQUERQUE</v>
      </c>
      <c r="D294" s="3" t="str">
        <f>IFERROR(__xludf.dummyfunction("""COMPUTED_VALUE"""),"26187663")</f>
        <v>26187663</v>
      </c>
      <c r="E294" s="3" t="str">
        <f>IFERROR(__xludf.dummyfunction("""COMPUTED_VALUE"""),"INFANTIL 1")</f>
        <v>INFANTIL 1</v>
      </c>
      <c r="F294" s="3" t="str">
        <f>IFERROR(__xludf.dummyfunction("""COMPUTED_VALUE"""),"Integral")</f>
        <v>Integral</v>
      </c>
      <c r="G294" s="3" t="str">
        <f>IFERROR(__xludf.dummyfunction("""COMPUTED_VALUE"""),"Comum")</f>
        <v>Comum</v>
      </c>
      <c r="H294" s="3" t="str">
        <f>IFERROR(__xludf.dummyfunction("""COMPUTED_VALUE"""),"9")</f>
        <v>9</v>
      </c>
      <c r="I294" s="147" t="str">
        <f>IFERROR(__xludf.dummyfunction("""COMPUTED_VALUE"""),"26092517006")</f>
        <v>26092517006</v>
      </c>
      <c r="J294" s="3" t="str">
        <f>IFERROR(__xludf.dummyfunction("""COMPUTED_VALUE"""),"04/09/2026 16:38:23")</f>
        <v>04/09/2026 16:38:23</v>
      </c>
      <c r="K294" s="3" t="str">
        <f>IFERROR(__xludf.dummyfunction("""COMPUTED_VALUE"""),"MARIA HELENA TELLES DA SILVA")</f>
        <v>MARIA HELENA TELLES DA SILVA</v>
      </c>
      <c r="L294" s="146" t="str">
        <f>IFERROR(__xludf.dummyfunction("""COMPUTED_VALUE"""),"010.760.604-63")</f>
        <v>010.760.604-63</v>
      </c>
      <c r="M294" s="146" t="str">
        <f>IFERROR(__xludf.dummyfunction("""COMPUTED_VALUE"""),"19/09/2025")</f>
        <v>19/09/2025</v>
      </c>
      <c r="N294" s="3"/>
      <c r="O294" s="3" t="str">
        <f>IFERROR(__xludf.dummyfunction("""COMPUTED_VALUE"""),"0")</f>
        <v>0</v>
      </c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hidden="1" customHeight="1" spans="1:29">
      <c r="A295" s="3"/>
      <c r="B295" s="3" t="str">
        <f t="array" ref="B295">_xlfn.XLOOKUP(D295,Tabela_Dados_Esc_JAB_2026[INEP],Tabela_Dados_Esc_JAB_2026[REGIONAL],"NE",0)</f>
        <v>REGIONAL 6</v>
      </c>
      <c r="C295" s="4" t="str">
        <f>IFERROR(__xludf.dummyfunction("""COMPUTED_VALUE"""),"CRECHE MERCIA DE ALBUQUERQUE")</f>
        <v>CRECHE MERCIA DE ALBUQUERQUE</v>
      </c>
      <c r="D295" s="3" t="str">
        <f>IFERROR(__xludf.dummyfunction("""COMPUTED_VALUE"""),"26187663")</f>
        <v>26187663</v>
      </c>
      <c r="E295" s="3" t="str">
        <f>IFERROR(__xludf.dummyfunction("""COMPUTED_VALUE"""),"INFANTIL 2")</f>
        <v>INFANTIL 2</v>
      </c>
      <c r="F295" s="3" t="str">
        <f>IFERROR(__xludf.dummyfunction("""COMPUTED_VALUE"""),"Integral")</f>
        <v>Integral</v>
      </c>
      <c r="G295" s="3" t="str">
        <f>IFERROR(__xludf.dummyfunction("""COMPUTED_VALUE"""),"Comum")</f>
        <v>Comum</v>
      </c>
      <c r="H295" s="3" t="str">
        <f>IFERROR(__xludf.dummyfunction("""COMPUTED_VALUE"""),"1")</f>
        <v>1</v>
      </c>
      <c r="I295" s="147" t="str">
        <f>IFERROR(__xludf.dummyfunction("""COMPUTED_VALUE"""),"26032416028")</f>
        <v>26032416028</v>
      </c>
      <c r="J295" s="3" t="str">
        <f>IFERROR(__xludf.dummyfunction("""COMPUTED_VALUE"""),"02/03/2026 15:50:23")</f>
        <v>02/03/2026 15:50:23</v>
      </c>
      <c r="K295" s="3" t="str">
        <f>IFERROR(__xludf.dummyfunction("""COMPUTED_VALUE"""),"JOSÉ HENRIQUE DA SILVA FILHO")</f>
        <v>JOSÉ HENRIQUE DA SILVA FILHO</v>
      </c>
      <c r="L295" s="146" t="str">
        <f>IFERROR(__xludf.dummyfunction("""COMPUTED_VALUE"""),"186.055.224-29")</f>
        <v>186.055.224-29</v>
      </c>
      <c r="M295" s="146" t="str">
        <f>IFERROR(__xludf.dummyfunction("""COMPUTED_VALUE"""),"25/07/2023")</f>
        <v>25/07/2023</v>
      </c>
      <c r="N295" s="3"/>
      <c r="O295" s="3" t="str">
        <f>IFERROR(__xludf.dummyfunction("""COMPUTED_VALUE"""),"0")</f>
        <v>0</v>
      </c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hidden="1" customHeight="1" spans="1:29">
      <c r="A296" s="3"/>
      <c r="B296" s="3" t="str">
        <f t="array" ref="B296">_xlfn.XLOOKUP(D296,Tabela_Dados_Esc_JAB_2026[INEP],Tabela_Dados_Esc_JAB_2026[REGIONAL],"NE",0)</f>
        <v>REGIONAL 6</v>
      </c>
      <c r="C296" s="4" t="str">
        <f>IFERROR(__xludf.dummyfunction("""COMPUTED_VALUE"""),"CRECHE MERCIA DE ALBUQUERQUE")</f>
        <v>CRECHE MERCIA DE ALBUQUERQUE</v>
      </c>
      <c r="D296" s="3" t="str">
        <f>IFERROR(__xludf.dummyfunction("""COMPUTED_VALUE"""),"26187663")</f>
        <v>26187663</v>
      </c>
      <c r="E296" s="3" t="str">
        <f>IFERROR(__xludf.dummyfunction("""COMPUTED_VALUE"""),"INFANTIL 2")</f>
        <v>INFANTIL 2</v>
      </c>
      <c r="F296" s="3" t="str">
        <f>IFERROR(__xludf.dummyfunction("""COMPUTED_VALUE"""),"Integral")</f>
        <v>Integral</v>
      </c>
      <c r="G296" s="3" t="str">
        <f>IFERROR(__xludf.dummyfunction("""COMPUTED_VALUE"""),"Comum")</f>
        <v>Comum</v>
      </c>
      <c r="H296" s="3" t="str">
        <f>IFERROR(__xludf.dummyfunction("""COMPUTED_VALUE"""),"2")</f>
        <v>2</v>
      </c>
      <c r="I296" s="147" t="str">
        <f>IFERROR(__xludf.dummyfunction("""COMPUTED_VALUE"""),"26032388105")</f>
        <v>26032388105</v>
      </c>
      <c r="J296" s="3" t="str">
        <f>IFERROR(__xludf.dummyfunction("""COMPUTED_VALUE"""),"11/03/2026 07:47:14")</f>
        <v>11/03/2026 07:47:14</v>
      </c>
      <c r="K296" s="3" t="str">
        <f>IFERROR(__xludf.dummyfunction("""COMPUTED_VALUE"""),"THEO DAVI BARBOSA DA SILVA")</f>
        <v>THEO DAVI BARBOSA DA SILVA</v>
      </c>
      <c r="L296" s="146" t="str">
        <f>IFERROR(__xludf.dummyfunction("""COMPUTED_VALUE"""),"000.011.754-40")</f>
        <v>000.011.754-40</v>
      </c>
      <c r="M296" s="146" t="str">
        <f>IFERROR(__xludf.dummyfunction("""COMPUTED_VALUE"""),"22/09/2023")</f>
        <v>22/09/2023</v>
      </c>
      <c r="N296" s="3"/>
      <c r="O296" s="3" t="str">
        <f>IFERROR(__xludf.dummyfunction("""COMPUTED_VALUE"""),"0")</f>
        <v>0</v>
      </c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hidden="1" customHeight="1" spans="1:29">
      <c r="A297" s="3"/>
      <c r="B297" s="3" t="str">
        <f t="array" ref="B297">_xlfn.XLOOKUP(D297,Tabela_Dados_Esc_JAB_2026[INEP],Tabela_Dados_Esc_JAB_2026[REGIONAL],"NE",0)</f>
        <v>REGIONAL 6</v>
      </c>
      <c r="C297" s="4" t="str">
        <f>IFERROR(__xludf.dummyfunction("""COMPUTED_VALUE"""),"CRECHE MERCIA DE ALBUQUERQUE")</f>
        <v>CRECHE MERCIA DE ALBUQUERQUE</v>
      </c>
      <c r="D297" s="3" t="str">
        <f>IFERROR(__xludf.dummyfunction("""COMPUTED_VALUE"""),"26187663")</f>
        <v>26187663</v>
      </c>
      <c r="E297" s="3" t="str">
        <f>IFERROR(__xludf.dummyfunction("""COMPUTED_VALUE"""),"INFANTIL 2")</f>
        <v>INFANTIL 2</v>
      </c>
      <c r="F297" s="3" t="str">
        <f>IFERROR(__xludf.dummyfunction("""COMPUTED_VALUE"""),"Integral")</f>
        <v>Integral</v>
      </c>
      <c r="G297" s="3" t="str">
        <f>IFERROR(__xludf.dummyfunction("""COMPUTED_VALUE"""),"Comum")</f>
        <v>Comum</v>
      </c>
      <c r="H297" s="3" t="str">
        <f>IFERROR(__xludf.dummyfunction("""COMPUTED_VALUE"""),"3")</f>
        <v>3</v>
      </c>
      <c r="I297" s="147" t="str">
        <f>IFERROR(__xludf.dummyfunction("""COMPUTED_VALUE"""),"26032924004")</f>
        <v>26032924004</v>
      </c>
      <c r="J297" s="3" t="str">
        <f>IFERROR(__xludf.dummyfunction("""COMPUTED_VALUE"""),"25/03/2026 13:04:37")</f>
        <v>25/03/2026 13:04:37</v>
      </c>
      <c r="K297" s="3" t="str">
        <f>IFERROR(__xludf.dummyfunction("""COMPUTED_VALUE"""),"BERNARDO LEON SILVA DOS SANTOS")</f>
        <v>BERNARDO LEON SILVA DOS SANTOS</v>
      </c>
      <c r="L297" s="146" t="str">
        <f>IFERROR(__xludf.dummyfunction("""COMPUTED_VALUE"""),"000.490.714-08")</f>
        <v>000.490.714-08</v>
      </c>
      <c r="M297" s="146" t="str">
        <f>IFERROR(__xludf.dummyfunction("""COMPUTED_VALUE"""),"14/10/2023")</f>
        <v>14/10/2023</v>
      </c>
      <c r="N297" s="3"/>
      <c r="O297" s="3" t="str">
        <f>IFERROR(__xludf.dummyfunction("""COMPUTED_VALUE"""),"0")</f>
        <v>0</v>
      </c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hidden="1" customHeight="1" spans="1:29">
      <c r="A298" s="3"/>
      <c r="B298" s="3" t="str">
        <f t="array" ref="B298">_xlfn.XLOOKUP(D298,Tabela_Dados_Esc_JAB_2026[INEP],Tabela_Dados_Esc_JAB_2026[REGIONAL],"NE",0)</f>
        <v>REGIONAL 6</v>
      </c>
      <c r="C298" s="4" t="str">
        <f>IFERROR(__xludf.dummyfunction("""COMPUTED_VALUE"""),"CRECHE MERCIA DE ALBUQUERQUE")</f>
        <v>CRECHE MERCIA DE ALBUQUERQUE</v>
      </c>
      <c r="D298" s="3" t="str">
        <f>IFERROR(__xludf.dummyfunction("""COMPUTED_VALUE"""),"26187663")</f>
        <v>26187663</v>
      </c>
      <c r="E298" s="3" t="str">
        <f>IFERROR(__xludf.dummyfunction("""COMPUTED_VALUE"""),"INFANTIL 2")</f>
        <v>INFANTIL 2</v>
      </c>
      <c r="F298" s="3" t="str">
        <f>IFERROR(__xludf.dummyfunction("""COMPUTED_VALUE"""),"Integral")</f>
        <v>Integral</v>
      </c>
      <c r="G298" s="3" t="str">
        <f>IFERROR(__xludf.dummyfunction("""COMPUTED_VALUE"""),"Comum")</f>
        <v>Comum</v>
      </c>
      <c r="H298" s="3" t="str">
        <f>IFERROR(__xludf.dummyfunction("""COMPUTED_VALUE"""),"4")</f>
        <v>4</v>
      </c>
      <c r="I298" s="147" t="str">
        <f>IFERROR(__xludf.dummyfunction("""COMPUTED_VALUE"""),"26072062059")</f>
        <v>26072062059</v>
      </c>
      <c r="J298" s="3" t="str">
        <f>IFERROR(__xludf.dummyfunction("""COMPUTED_VALUE"""),"15/07/2026 09:23:58")</f>
        <v>15/07/2026 09:23:58</v>
      </c>
      <c r="K298" s="3" t="str">
        <f>IFERROR(__xludf.dummyfunction("""COMPUTED_VALUE"""),"Gustavo da Silva Benedito")</f>
        <v>Gustavo da Silva Benedito</v>
      </c>
      <c r="L298" s="146" t="str">
        <f>IFERROR(__xludf.dummyfunction("""COMPUTED_VALUE"""),"186.140.534-01")</f>
        <v>186.140.534-01</v>
      </c>
      <c r="M298" s="146" t="str">
        <f>IFERROR(__xludf.dummyfunction("""COMPUTED_VALUE"""),"01/08/2023")</f>
        <v>01/08/2023</v>
      </c>
      <c r="N298" s="3"/>
      <c r="O298" s="3" t="str">
        <f>IFERROR(__xludf.dummyfunction("""COMPUTED_VALUE"""),"0")</f>
        <v>0</v>
      </c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hidden="1" customHeight="1" spans="1:29">
      <c r="A299" s="3"/>
      <c r="B299" s="3" t="str">
        <f t="array" ref="B299">_xlfn.XLOOKUP(D299,Tabela_Dados_Esc_JAB_2026[INEP],Tabela_Dados_Esc_JAB_2026[REGIONAL],"NE",0)</f>
        <v>REGIONAL 6</v>
      </c>
      <c r="C299" s="4" t="str">
        <f>IFERROR(__xludf.dummyfunction("""COMPUTED_VALUE"""),"CRECHE MERCIA DE ALBUQUERQUE")</f>
        <v>CRECHE MERCIA DE ALBUQUERQUE</v>
      </c>
      <c r="D299" s="3" t="str">
        <f>IFERROR(__xludf.dummyfunction("""COMPUTED_VALUE"""),"26187663")</f>
        <v>26187663</v>
      </c>
      <c r="E299" s="3" t="str">
        <f>IFERROR(__xludf.dummyfunction("""COMPUTED_VALUE"""),"INFANTIL 2")</f>
        <v>INFANTIL 2</v>
      </c>
      <c r="F299" s="3" t="str">
        <f>IFERROR(__xludf.dummyfunction("""COMPUTED_VALUE"""),"Integral")</f>
        <v>Integral</v>
      </c>
      <c r="G299" s="3" t="str">
        <f>IFERROR(__xludf.dummyfunction("""COMPUTED_VALUE"""),"Comum")</f>
        <v>Comum</v>
      </c>
      <c r="H299" s="3" t="str">
        <f>IFERROR(__xludf.dummyfunction("""COMPUTED_VALUE"""),"5")</f>
        <v>5</v>
      </c>
      <c r="I299" s="147" t="str">
        <f>IFERROR(__xludf.dummyfunction("""COMPUTED_VALUE"""),"26072637686")</f>
        <v>26072637686</v>
      </c>
      <c r="J299" s="3" t="str">
        <f>IFERROR(__xludf.dummyfunction("""COMPUTED_VALUE"""),"23/07/2026 11:19:34")</f>
        <v>23/07/2026 11:19:34</v>
      </c>
      <c r="K299" s="3" t="str">
        <f>IFERROR(__xludf.dummyfunction("""COMPUTED_VALUE"""),"João Pedro Pereira Xavier")</f>
        <v>João Pedro Pereira Xavier</v>
      </c>
      <c r="L299" s="146" t="str">
        <f>IFERROR(__xludf.dummyfunction("""COMPUTED_VALUE"""),"002.397.874-04")</f>
        <v>002.397.874-04</v>
      </c>
      <c r="M299" s="146" t="str">
        <f>IFERROR(__xludf.dummyfunction("""COMPUTED_VALUE"""),"16/03/2024")</f>
        <v>16/03/2024</v>
      </c>
      <c r="N299" s="3"/>
      <c r="O299" s="3" t="str">
        <f>IFERROR(__xludf.dummyfunction("""COMPUTED_VALUE"""),"0")</f>
        <v>0</v>
      </c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hidden="1" customHeight="1" spans="1:29">
      <c r="A300" s="3"/>
      <c r="B300" s="3" t="str">
        <f t="array" ref="B300">_xlfn.XLOOKUP(D300,Tabela_Dados_Esc_JAB_2026[INEP],Tabela_Dados_Esc_JAB_2026[REGIONAL],"NE",0)</f>
        <v>REGIONAL 6</v>
      </c>
      <c r="C300" s="4" t="str">
        <f>IFERROR(__xludf.dummyfunction("""COMPUTED_VALUE"""),"CRECHE MERCIA DE ALBUQUERQUE")</f>
        <v>CRECHE MERCIA DE ALBUQUERQUE</v>
      </c>
      <c r="D300" s="3" t="str">
        <f>IFERROR(__xludf.dummyfunction("""COMPUTED_VALUE"""),"26187663")</f>
        <v>26187663</v>
      </c>
      <c r="E300" s="3" t="str">
        <f>IFERROR(__xludf.dummyfunction("""COMPUTED_VALUE"""),"INFANTIL 2")</f>
        <v>INFANTIL 2</v>
      </c>
      <c r="F300" s="3" t="str">
        <f>IFERROR(__xludf.dummyfunction("""COMPUTED_VALUE"""),"Integral")</f>
        <v>Integral</v>
      </c>
      <c r="G300" s="3" t="str">
        <f>IFERROR(__xludf.dummyfunction("""COMPUTED_VALUE"""),"Comum")</f>
        <v>Comum</v>
      </c>
      <c r="H300" s="3" t="str">
        <f>IFERROR(__xludf.dummyfunction("""COMPUTED_VALUE"""),"6")</f>
        <v>6</v>
      </c>
      <c r="I300" s="147" t="str">
        <f>IFERROR(__xludf.dummyfunction("""COMPUTED_VALUE"""),"26092877706")</f>
        <v>26092877706</v>
      </c>
      <c r="J300" s="3" t="str">
        <f>IFERROR(__xludf.dummyfunction("""COMPUTED_VALUE"""),"23/09/2026 16:09:51")</f>
        <v>23/09/2026 16:09:51</v>
      </c>
      <c r="K300" s="3" t="str">
        <f>IFERROR(__xludf.dummyfunction("""COMPUTED_VALUE"""),"Arthur Miguel de Souza Gomes")</f>
        <v>Arthur Miguel de Souza Gomes</v>
      </c>
      <c r="L300" s="146" t="str">
        <f>IFERROR(__xludf.dummyfunction("""COMPUTED_VALUE"""),"000.859.884-30")</f>
        <v>000.859.884-30</v>
      </c>
      <c r="M300" s="146" t="str">
        <f>IFERROR(__xludf.dummyfunction("""COMPUTED_VALUE"""),"07/11/2023")</f>
        <v>07/11/2023</v>
      </c>
      <c r="N300" s="3"/>
      <c r="O300" s="3" t="str">
        <f>IFERROR(__xludf.dummyfunction("""COMPUTED_VALUE"""),"0")</f>
        <v>0</v>
      </c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hidden="1" customHeight="1" spans="1:29">
      <c r="A301" s="3"/>
      <c r="B301" s="3" t="str">
        <f t="array" ref="B301">_xlfn.XLOOKUP(D301,Tabela_Dados_Esc_JAB_2026[INEP],Tabela_Dados_Esc_JAB_2026[REGIONAL],"NE",0)</f>
        <v>REGIONAL 3</v>
      </c>
      <c r="C301" s="4" t="str">
        <f>IFERROR(__xludf.dummyfunction("""COMPUTED_VALUE"""),"CRECHE MUNDO ENCANTADO")</f>
        <v>CRECHE MUNDO ENCANTADO</v>
      </c>
      <c r="D301" s="3" t="str">
        <f>IFERROR(__xludf.dummyfunction("""COMPUTED_VALUE"""),"26156261")</f>
        <v>26156261</v>
      </c>
      <c r="E301" s="3" t="str">
        <f>IFERROR(__xludf.dummyfunction("""COMPUTED_VALUE"""),"INFANTIL 1")</f>
        <v>INFANTIL 1</v>
      </c>
      <c r="F301" s="3" t="str">
        <f>IFERROR(__xludf.dummyfunction("""COMPUTED_VALUE"""),"Integral")</f>
        <v>Integral</v>
      </c>
      <c r="G301" s="3" t="str">
        <f>IFERROR(__xludf.dummyfunction("""COMPUTED_VALUE"""),"Comum")</f>
        <v>Comum</v>
      </c>
      <c r="H301" s="3" t="str">
        <f>IFERROR(__xludf.dummyfunction("""COMPUTED_VALUE"""),"1")</f>
        <v>1</v>
      </c>
      <c r="I301" s="147" t="str">
        <f>IFERROR(__xludf.dummyfunction("""COMPUTED_VALUE"""),"26012920835")</f>
        <v>26012920835</v>
      </c>
      <c r="J301" s="3" t="str">
        <f>IFERROR(__xludf.dummyfunction("""COMPUTED_VALUE"""),"29/01/2026 13:35:30")</f>
        <v>29/01/2026 13:35:30</v>
      </c>
      <c r="K301" s="3" t="str">
        <f>IFERROR(__xludf.dummyfunction("""COMPUTED_VALUE"""),"JOÃO DAVI DOS SANTOS")</f>
        <v>JOÃO DAVI DOS SANTOS</v>
      </c>
      <c r="L301" s="146" t="str">
        <f>IFERROR(__xludf.dummyfunction("""COMPUTED_VALUE"""),"003.980.624-39")</f>
        <v>003.980.624-39</v>
      </c>
      <c r="M301" s="146" t="str">
        <f>IFERROR(__xludf.dummyfunction("""COMPUTED_VALUE"""),"26/08/2024")</f>
        <v>26/08/2024</v>
      </c>
      <c r="N301" s="3"/>
      <c r="O301" s="3" t="str">
        <f>IFERROR(__xludf.dummyfunction("""COMPUTED_VALUE"""),"0")</f>
        <v>0</v>
      </c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hidden="1" customHeight="1" spans="1:29">
      <c r="A302" s="3"/>
      <c r="B302" s="3" t="str">
        <f t="array" ref="B302">_xlfn.XLOOKUP(D302,Tabela_Dados_Esc_JAB_2026[INEP],Tabela_Dados_Esc_JAB_2026[REGIONAL],"NE",0)</f>
        <v>REGIONAL 3</v>
      </c>
      <c r="C302" s="4" t="str">
        <f>IFERROR(__xludf.dummyfunction("""COMPUTED_VALUE"""),"CRECHE MUNDO ENCANTADO")</f>
        <v>CRECHE MUNDO ENCANTADO</v>
      </c>
      <c r="D302" s="3" t="str">
        <f>IFERROR(__xludf.dummyfunction("""COMPUTED_VALUE"""),"26156261")</f>
        <v>26156261</v>
      </c>
      <c r="E302" s="3" t="str">
        <f>IFERROR(__xludf.dummyfunction("""COMPUTED_VALUE"""),"INFANTIL 1")</f>
        <v>INFANTIL 1</v>
      </c>
      <c r="F302" s="3" t="str">
        <f>IFERROR(__xludf.dummyfunction("""COMPUTED_VALUE"""),"Integral")</f>
        <v>Integral</v>
      </c>
      <c r="G302" s="3" t="str">
        <f>IFERROR(__xludf.dummyfunction("""COMPUTED_VALUE"""),"Comum")</f>
        <v>Comum</v>
      </c>
      <c r="H302" s="3" t="str">
        <f>IFERROR(__xludf.dummyfunction("""COMPUTED_VALUE"""),"2")</f>
        <v>2</v>
      </c>
      <c r="I302" s="147" t="str">
        <f>IFERROR(__xludf.dummyfunction("""COMPUTED_VALUE"""),"26012550956")</f>
        <v>26012550956</v>
      </c>
      <c r="J302" s="3" t="str">
        <f>IFERROR(__xludf.dummyfunction("""COMPUTED_VALUE"""),"29/01/2026 14:12:29")</f>
        <v>29/01/2026 14:12:29</v>
      </c>
      <c r="K302" s="3" t="str">
        <f>IFERROR(__xludf.dummyfunction("""COMPUTED_VALUE"""),"JOSÉ FLÁVIO BATISTA DA SILVA COSTA")</f>
        <v>JOSÉ FLÁVIO BATISTA DA SILVA COSTA</v>
      </c>
      <c r="L302" s="146" t="str">
        <f>IFERROR(__xludf.dummyfunction("""COMPUTED_VALUE"""),"006.104.144-02")</f>
        <v>006.104.144-02</v>
      </c>
      <c r="M302" s="146" t="str">
        <f>IFERROR(__xludf.dummyfunction("""COMPUTED_VALUE"""),"13/03/2025")</f>
        <v>13/03/2025</v>
      </c>
      <c r="N302" s="3"/>
      <c r="O302" s="3" t="str">
        <f>IFERROR(__xludf.dummyfunction("""COMPUTED_VALUE"""),"0")</f>
        <v>0</v>
      </c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hidden="1" customHeight="1" spans="1:29">
      <c r="A303" s="3"/>
      <c r="B303" s="3" t="str">
        <f t="array" ref="B303">_xlfn.XLOOKUP(D303,Tabela_Dados_Esc_JAB_2026[INEP],Tabela_Dados_Esc_JAB_2026[REGIONAL],"NE",0)</f>
        <v>REGIONAL 3</v>
      </c>
      <c r="C303" s="4" t="str">
        <f>IFERROR(__xludf.dummyfunction("""COMPUTED_VALUE"""),"CRECHE MUNDO ENCANTADO")</f>
        <v>CRECHE MUNDO ENCANTADO</v>
      </c>
      <c r="D303" s="3" t="str">
        <f>IFERROR(__xludf.dummyfunction("""COMPUTED_VALUE"""),"26156261")</f>
        <v>26156261</v>
      </c>
      <c r="E303" s="3" t="str">
        <f>IFERROR(__xludf.dummyfunction("""COMPUTED_VALUE"""),"INFANTIL 1")</f>
        <v>INFANTIL 1</v>
      </c>
      <c r="F303" s="3" t="str">
        <f>IFERROR(__xludf.dummyfunction("""COMPUTED_VALUE"""),"Integral")</f>
        <v>Integral</v>
      </c>
      <c r="G303" s="3" t="str">
        <f>IFERROR(__xludf.dummyfunction("""COMPUTED_VALUE"""),"Comum")</f>
        <v>Comum</v>
      </c>
      <c r="H303" s="3" t="str">
        <f>IFERROR(__xludf.dummyfunction("""COMPUTED_VALUE"""),"3")</f>
        <v>3</v>
      </c>
      <c r="I303" s="147" t="str">
        <f>IFERROR(__xludf.dummyfunction("""COMPUTED_VALUE"""),"26022017822")</f>
        <v>26022017822</v>
      </c>
      <c r="J303" s="3" t="str">
        <f>IFERROR(__xludf.dummyfunction("""COMPUTED_VALUE"""),"19/02/2026 21:16:01")</f>
        <v>19/02/2026 21:16:01</v>
      </c>
      <c r="K303" s="3" t="str">
        <f>IFERROR(__xludf.dummyfunction("""COMPUTED_VALUE"""),"HELENA AZEVEDO DA SILVA")</f>
        <v>HELENA AZEVEDO DA SILVA</v>
      </c>
      <c r="L303" s="146" t="str">
        <f>IFERROR(__xludf.dummyfunction("""COMPUTED_VALUE"""),"003.112.504-24")</f>
        <v>003.112.504-24</v>
      </c>
      <c r="M303" s="146" t="str">
        <f>IFERROR(__xludf.dummyfunction("""COMPUTED_VALUE"""),"19/05/2024")</f>
        <v>19/05/2024</v>
      </c>
      <c r="N303" s="3"/>
      <c r="O303" s="3" t="str">
        <f>IFERROR(__xludf.dummyfunction("""COMPUTED_VALUE"""),"0")</f>
        <v>0</v>
      </c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hidden="1" customHeight="1" spans="1:29">
      <c r="A304" s="3"/>
      <c r="B304" s="3" t="str">
        <f t="array" ref="B304">_xlfn.XLOOKUP(D304,Tabela_Dados_Esc_JAB_2026[INEP],Tabela_Dados_Esc_JAB_2026[REGIONAL],"NE",0)</f>
        <v>REGIONAL 3</v>
      </c>
      <c r="C304" s="4" t="str">
        <f>IFERROR(__xludf.dummyfunction("""COMPUTED_VALUE"""),"CRECHE MUNDO ENCANTADO")</f>
        <v>CRECHE MUNDO ENCANTADO</v>
      </c>
      <c r="D304" s="3" t="str">
        <f>IFERROR(__xludf.dummyfunction("""COMPUTED_VALUE"""),"26156261")</f>
        <v>26156261</v>
      </c>
      <c r="E304" s="3" t="str">
        <f>IFERROR(__xludf.dummyfunction("""COMPUTED_VALUE"""),"INFANTIL 1")</f>
        <v>INFANTIL 1</v>
      </c>
      <c r="F304" s="3" t="str">
        <f>IFERROR(__xludf.dummyfunction("""COMPUTED_VALUE"""),"Integral")</f>
        <v>Integral</v>
      </c>
      <c r="G304" s="3" t="str">
        <f>IFERROR(__xludf.dummyfunction("""COMPUTED_VALUE"""),"Comum")</f>
        <v>Comum</v>
      </c>
      <c r="H304" s="3" t="str">
        <f>IFERROR(__xludf.dummyfunction("""COMPUTED_VALUE"""),"4")</f>
        <v>4</v>
      </c>
      <c r="I304" s="147" t="str">
        <f>IFERROR(__xludf.dummyfunction("""COMPUTED_VALUE"""),"26022695426")</f>
        <v>26022695426</v>
      </c>
      <c r="J304" s="3" t="str">
        <f>IFERROR(__xludf.dummyfunction("""COMPUTED_VALUE"""),"28/02/2026 20:58:43")</f>
        <v>28/02/2026 20:58:43</v>
      </c>
      <c r="K304" s="3" t="str">
        <f>IFERROR(__xludf.dummyfunction("""COMPUTED_VALUE"""),"LAYANNE GOMES PAULINO DA SILVA")</f>
        <v>LAYANNE GOMES PAULINO DA SILVA</v>
      </c>
      <c r="L304" s="146" t="str">
        <f>IFERROR(__xludf.dummyfunction("""COMPUTED_VALUE"""),"005.882.074-46")</f>
        <v>005.882.074-46</v>
      </c>
      <c r="M304" s="146" t="str">
        <f>IFERROR(__xludf.dummyfunction("""COMPUTED_VALUE"""),"12/04/2025")</f>
        <v>12/04/2025</v>
      </c>
      <c r="N304" s="3"/>
      <c r="O304" s="3" t="str">
        <f>IFERROR(__xludf.dummyfunction("""COMPUTED_VALUE"""),"0")</f>
        <v>0</v>
      </c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hidden="1" customHeight="1" spans="1:29">
      <c r="A305" s="3"/>
      <c r="B305" s="3" t="str">
        <f t="array" ref="B305">_xlfn.XLOOKUP(D305,Tabela_Dados_Esc_JAB_2026[INEP],Tabela_Dados_Esc_JAB_2026[REGIONAL],"NE",0)</f>
        <v>REGIONAL 3</v>
      </c>
      <c r="C305" s="4" t="str">
        <f>IFERROR(__xludf.dummyfunction("""COMPUTED_VALUE"""),"CRECHE MUNDO ENCANTADO")</f>
        <v>CRECHE MUNDO ENCANTADO</v>
      </c>
      <c r="D305" s="3" t="str">
        <f>IFERROR(__xludf.dummyfunction("""COMPUTED_VALUE"""),"26156261")</f>
        <v>26156261</v>
      </c>
      <c r="E305" s="3" t="str">
        <f>IFERROR(__xludf.dummyfunction("""COMPUTED_VALUE"""),"INFANTIL 1")</f>
        <v>INFANTIL 1</v>
      </c>
      <c r="F305" s="3" t="str">
        <f>IFERROR(__xludf.dummyfunction("""COMPUTED_VALUE"""),"Integral")</f>
        <v>Integral</v>
      </c>
      <c r="G305" s="3" t="str">
        <f>IFERROR(__xludf.dummyfunction("""COMPUTED_VALUE"""),"Comum")</f>
        <v>Comum</v>
      </c>
      <c r="H305" s="3" t="str">
        <f>IFERROR(__xludf.dummyfunction("""COMPUTED_VALUE"""),"5")</f>
        <v>5</v>
      </c>
      <c r="I305" s="145" t="str">
        <f>IFERROR(__xludf.dummyfunction("""COMPUTED_VALUE"""),"26042652616")</f>
        <v>26042652616</v>
      </c>
      <c r="J305" s="3" t="str">
        <f>IFERROR(__xludf.dummyfunction("""COMPUTED_VALUE"""),"28/04/2026 11:00:10")</f>
        <v>28/04/2026 11:00:10</v>
      </c>
      <c r="K305" s="3" t="str">
        <f>IFERROR(__xludf.dummyfunction("""COMPUTED_VALUE"""),"MARINA GOMES SANTOS GUIMARAES")</f>
        <v>MARINA GOMES SANTOS GUIMARAES</v>
      </c>
      <c r="L305" s="146" t="str">
        <f>IFERROR(__xludf.dummyfunction("""COMPUTED_VALUE"""),"005.894.784-19")</f>
        <v>005.894.784-19</v>
      </c>
      <c r="M305" s="146" t="str">
        <f>IFERROR(__xludf.dummyfunction("""COMPUTED_VALUE"""),"11/04/2025")</f>
        <v>11/04/2025</v>
      </c>
      <c r="N305" s="3"/>
      <c r="O305" s="3" t="str">
        <f>IFERROR(__xludf.dummyfunction("""COMPUTED_VALUE"""),"0")</f>
        <v>0</v>
      </c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hidden="1" customHeight="1" spans="1:29">
      <c r="A306" s="3"/>
      <c r="B306" s="3" t="str">
        <f t="array" ref="B306">_xlfn.XLOOKUP(D306,Tabela_Dados_Esc_JAB_2026[INEP],Tabela_Dados_Esc_JAB_2026[REGIONAL],"NE",0)</f>
        <v>REGIONAL 3</v>
      </c>
      <c r="C306" s="4" t="str">
        <f>IFERROR(__xludf.dummyfunction("""COMPUTED_VALUE"""),"CRECHE MUNDO ENCANTADO")</f>
        <v>CRECHE MUNDO ENCANTADO</v>
      </c>
      <c r="D306" s="3" t="str">
        <f>IFERROR(__xludf.dummyfunction("""COMPUTED_VALUE"""),"26156261")</f>
        <v>26156261</v>
      </c>
      <c r="E306" s="3" t="str">
        <f>IFERROR(__xludf.dummyfunction("""COMPUTED_VALUE"""),"INFANTIL 1")</f>
        <v>INFANTIL 1</v>
      </c>
      <c r="F306" s="3" t="str">
        <f>IFERROR(__xludf.dummyfunction("""COMPUTED_VALUE"""),"Integral")</f>
        <v>Integral</v>
      </c>
      <c r="G306" s="3" t="str">
        <f>IFERROR(__xludf.dummyfunction("""COMPUTED_VALUE"""),"Comum")</f>
        <v>Comum</v>
      </c>
      <c r="H306" s="3" t="str">
        <f>IFERROR(__xludf.dummyfunction("""COMPUTED_VALUE"""),"6")</f>
        <v>6</v>
      </c>
      <c r="I306" s="145" t="str">
        <f>IFERROR(__xludf.dummyfunction("""COMPUTED_VALUE"""),"26052515836")</f>
        <v>26052515836</v>
      </c>
      <c r="J306" s="3" t="str">
        <f>IFERROR(__xludf.dummyfunction("""COMPUTED_VALUE"""),"25/05/2026 18:39:15")</f>
        <v>25/05/2026 18:39:15</v>
      </c>
      <c r="K306" s="3" t="str">
        <f>IFERROR(__xludf.dummyfunction("""COMPUTED_VALUE"""),"Mallu Yarin Rodrigues Macêdo Vaz")</f>
        <v>Mallu Yarin Rodrigues Macêdo Vaz</v>
      </c>
      <c r="L306" s="146" t="str">
        <f>IFERROR(__xludf.dummyfunction("""COMPUTED_VALUE"""),"004.957.764-67")</f>
        <v>004.957.764-67</v>
      </c>
      <c r="M306" s="146" t="str">
        <f>IFERROR(__xludf.dummyfunction("""COMPUTED_VALUE"""),"29/12/2024")</f>
        <v>29/12/2024</v>
      </c>
      <c r="N306" s="3"/>
      <c r="O306" s="3" t="str">
        <f>IFERROR(__xludf.dummyfunction("""COMPUTED_VALUE"""),"0")</f>
        <v>0</v>
      </c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hidden="1" customHeight="1" spans="1:29">
      <c r="A307" s="3"/>
      <c r="B307" s="3" t="str">
        <f t="array" ref="B307">_xlfn.XLOOKUP(D307,Tabela_Dados_Esc_JAB_2026[INEP],Tabela_Dados_Esc_JAB_2026[REGIONAL],"NE",0)</f>
        <v>REGIONAL 3</v>
      </c>
      <c r="C307" s="4" t="str">
        <f>IFERROR(__xludf.dummyfunction("""COMPUTED_VALUE"""),"CRECHE MUNDO ENCANTADO")</f>
        <v>CRECHE MUNDO ENCANTADO</v>
      </c>
      <c r="D307" s="3" t="str">
        <f>IFERROR(__xludf.dummyfunction("""COMPUTED_VALUE"""),"26156261")</f>
        <v>26156261</v>
      </c>
      <c r="E307" s="3" t="str">
        <f>IFERROR(__xludf.dummyfunction("""COMPUTED_VALUE"""),"INFANTIL 1")</f>
        <v>INFANTIL 1</v>
      </c>
      <c r="F307" s="3" t="str">
        <f>IFERROR(__xludf.dummyfunction("""COMPUTED_VALUE"""),"Integral")</f>
        <v>Integral</v>
      </c>
      <c r="G307" s="3" t="str">
        <f>IFERROR(__xludf.dummyfunction("""COMPUTED_VALUE"""),"Comum")</f>
        <v>Comum</v>
      </c>
      <c r="H307" s="3" t="str">
        <f>IFERROR(__xludf.dummyfunction("""COMPUTED_VALUE"""),"7")</f>
        <v>7</v>
      </c>
      <c r="I307" s="145" t="str">
        <f>IFERROR(__xludf.dummyfunction("""COMPUTED_VALUE"""),"26072212498")</f>
        <v>26072212498</v>
      </c>
      <c r="J307" s="3" t="str">
        <f>IFERROR(__xludf.dummyfunction("""COMPUTED_VALUE"""),"09/07/2026 11:02:23")</f>
        <v>09/07/2026 11:02:23</v>
      </c>
      <c r="K307" s="3" t="str">
        <f>IFERROR(__xludf.dummyfunction("""COMPUTED_VALUE"""),"Maria Helena Souza de melo")</f>
        <v>Maria Helena Souza de melo</v>
      </c>
      <c r="L307" s="146" t="str">
        <f>IFERROR(__xludf.dummyfunction("""COMPUTED_VALUE"""),"003.834.524-22")</f>
        <v>003.834.524-22</v>
      </c>
      <c r="M307" s="146" t="str">
        <f>IFERROR(__xludf.dummyfunction("""COMPUTED_VALUE"""),"18/08/2024")</f>
        <v>18/08/2024</v>
      </c>
      <c r="N307" s="3"/>
      <c r="O307" s="3" t="str">
        <f>IFERROR(__xludf.dummyfunction("""COMPUTED_VALUE"""),"0")</f>
        <v>0</v>
      </c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hidden="1" customHeight="1" spans="1:29">
      <c r="A308" s="3"/>
      <c r="B308" s="3" t="str">
        <f t="array" ref="B308">_xlfn.XLOOKUP(D308,Tabela_Dados_Esc_JAB_2026[INEP],Tabela_Dados_Esc_JAB_2026[REGIONAL],"NE",0)</f>
        <v>REGIONAL 3</v>
      </c>
      <c r="C308" s="4" t="str">
        <f>IFERROR(__xludf.dummyfunction("""COMPUTED_VALUE"""),"CRECHE MUNDO ENCANTADO")</f>
        <v>CRECHE MUNDO ENCANTADO</v>
      </c>
      <c r="D308" s="3" t="str">
        <f>IFERROR(__xludf.dummyfunction("""COMPUTED_VALUE"""),"26156261")</f>
        <v>26156261</v>
      </c>
      <c r="E308" s="3" t="str">
        <f>IFERROR(__xludf.dummyfunction("""COMPUTED_VALUE"""),"INFANTIL 1")</f>
        <v>INFANTIL 1</v>
      </c>
      <c r="F308" s="3" t="str">
        <f>IFERROR(__xludf.dummyfunction("""COMPUTED_VALUE"""),"Integral")</f>
        <v>Integral</v>
      </c>
      <c r="G308" s="3" t="str">
        <f>IFERROR(__xludf.dummyfunction("""COMPUTED_VALUE"""),"Comum")</f>
        <v>Comum</v>
      </c>
      <c r="H308" s="3" t="str">
        <f>IFERROR(__xludf.dummyfunction("""COMPUTED_VALUE"""),"8")</f>
        <v>8</v>
      </c>
      <c r="I308" s="147" t="str">
        <f>IFERROR(__xludf.dummyfunction("""COMPUTED_VALUE"""),"26082356845")</f>
        <v>26082356845</v>
      </c>
      <c r="J308" s="3" t="str">
        <f>IFERROR(__xludf.dummyfunction("""COMPUTED_VALUE"""),"03/08/2026 15:31:56")</f>
        <v>03/08/2026 15:31:56</v>
      </c>
      <c r="K308" s="3" t="str">
        <f>IFERROR(__xludf.dummyfunction("""COMPUTED_VALUE"""),"THÉO GABRIEL NASCIMENTO DA SILVA")</f>
        <v>THÉO GABRIEL NASCIMENTO DA SILVA</v>
      </c>
      <c r="L308" s="146" t="str">
        <f>IFERROR(__xludf.dummyfunction("""COMPUTED_VALUE"""),"006.663.554-36")</f>
        <v>006.663.554-36</v>
      </c>
      <c r="M308" s="146" t="str">
        <f>IFERROR(__xludf.dummyfunction("""COMPUTED_VALUE"""),"29/06/2025")</f>
        <v>29/06/2025</v>
      </c>
      <c r="N308" s="3"/>
      <c r="O308" s="3" t="str">
        <f>IFERROR(__xludf.dummyfunction("""COMPUTED_VALUE"""),"0")</f>
        <v>0</v>
      </c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hidden="1" customHeight="1" spans="1:29">
      <c r="A309" s="3"/>
      <c r="B309" s="3" t="str">
        <f t="array" ref="B309">_xlfn.XLOOKUP(D309,Tabela_Dados_Esc_JAB_2026[INEP],Tabela_Dados_Esc_JAB_2026[REGIONAL],"NE",0)</f>
        <v>REGIONAL 3</v>
      </c>
      <c r="C309" s="4" t="str">
        <f>IFERROR(__xludf.dummyfunction("""COMPUTED_VALUE"""),"CRECHE MUNDO ENCANTADO")</f>
        <v>CRECHE MUNDO ENCANTADO</v>
      </c>
      <c r="D309" s="3" t="str">
        <f>IFERROR(__xludf.dummyfunction("""COMPUTED_VALUE"""),"26156261")</f>
        <v>26156261</v>
      </c>
      <c r="E309" s="3" t="str">
        <f>IFERROR(__xludf.dummyfunction("""COMPUTED_VALUE"""),"INFANTIL 1")</f>
        <v>INFANTIL 1</v>
      </c>
      <c r="F309" s="3" t="str">
        <f>IFERROR(__xludf.dummyfunction("""COMPUTED_VALUE"""),"Integral")</f>
        <v>Integral</v>
      </c>
      <c r="G309" s="3" t="str">
        <f>IFERROR(__xludf.dummyfunction("""COMPUTED_VALUE"""),"Comum")</f>
        <v>Comum</v>
      </c>
      <c r="H309" s="3" t="str">
        <f>IFERROR(__xludf.dummyfunction("""COMPUTED_VALUE"""),"9")</f>
        <v>9</v>
      </c>
      <c r="I309" s="147" t="str">
        <f>IFERROR(__xludf.dummyfunction("""COMPUTED_VALUE"""),"26082297329")</f>
        <v>26082297329</v>
      </c>
      <c r="J309" s="3" t="str">
        <f>IFERROR(__xludf.dummyfunction("""COMPUTED_VALUE"""),"12/08/2026 23:55:57")</f>
        <v>12/08/2026 23:55:57</v>
      </c>
      <c r="K309" s="3" t="str">
        <f>IFERROR(__xludf.dummyfunction("""COMPUTED_VALUE"""),"Maria Liz Andrade Borba de Souza")</f>
        <v>Maria Liz Andrade Borba de Souza</v>
      </c>
      <c r="L309" s="146" t="str">
        <f>IFERROR(__xludf.dummyfunction("""COMPUTED_VALUE"""),"004.419.444-77")</f>
        <v>004.419.444-77</v>
      </c>
      <c r="M309" s="146" t="str">
        <f>IFERROR(__xludf.dummyfunction("""COMPUTED_VALUE"""),"11/10/2024")</f>
        <v>11/10/2024</v>
      </c>
      <c r="N309" s="3"/>
      <c r="O309" s="3" t="str">
        <f>IFERROR(__xludf.dummyfunction("""COMPUTED_VALUE"""),"0")</f>
        <v>0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hidden="1" customHeight="1" spans="1:29">
      <c r="A310" s="3"/>
      <c r="B310" s="3" t="str">
        <f t="array" ref="B310">_xlfn.XLOOKUP(D310,Tabela_Dados_Esc_JAB_2026[INEP],Tabela_Dados_Esc_JAB_2026[REGIONAL],"NE",0)</f>
        <v>REGIONAL 3</v>
      </c>
      <c r="C310" s="4" t="str">
        <f>IFERROR(__xludf.dummyfunction("""COMPUTED_VALUE"""),"CRECHE MUNDO ENCANTADO")</f>
        <v>CRECHE MUNDO ENCANTADO</v>
      </c>
      <c r="D310" s="3" t="str">
        <f>IFERROR(__xludf.dummyfunction("""COMPUTED_VALUE"""),"26156261")</f>
        <v>26156261</v>
      </c>
      <c r="E310" s="3" t="str">
        <f>IFERROR(__xludf.dummyfunction("""COMPUTED_VALUE"""),"INFANTIL 1")</f>
        <v>INFANTIL 1</v>
      </c>
      <c r="F310" s="3" t="str">
        <f>IFERROR(__xludf.dummyfunction("""COMPUTED_VALUE"""),"Integral")</f>
        <v>Integral</v>
      </c>
      <c r="G310" s="3" t="str">
        <f>IFERROR(__xludf.dummyfunction("""COMPUTED_VALUE"""),"Comum")</f>
        <v>Comum</v>
      </c>
      <c r="H310" s="3" t="str">
        <f>IFERROR(__xludf.dummyfunction("""COMPUTED_VALUE"""),"10")</f>
        <v>10</v>
      </c>
      <c r="I310" s="147" t="str">
        <f>IFERROR(__xludf.dummyfunction("""COMPUTED_VALUE"""),"26092906571")</f>
        <v>26092906571</v>
      </c>
      <c r="J310" s="3" t="str">
        <f>IFERROR(__xludf.dummyfunction("""COMPUTED_VALUE"""),"15/09/2026 09:58:57")</f>
        <v>15/09/2026 09:58:57</v>
      </c>
      <c r="K310" s="3" t="str">
        <f>IFERROR(__xludf.dummyfunction("""COMPUTED_VALUE"""),"Endrick José Santos Gomes")</f>
        <v>Endrick José Santos Gomes</v>
      </c>
      <c r="L310" s="146" t="str">
        <f>IFERROR(__xludf.dummyfunction("""COMPUTED_VALUE"""),"003.592.184-66")</f>
        <v>003.592.184-66</v>
      </c>
      <c r="M310" s="146" t="str">
        <f>IFERROR(__xludf.dummyfunction("""COMPUTED_VALUE"""),"22/07/2024")</f>
        <v>22/07/2024</v>
      </c>
      <c r="N310" s="3"/>
      <c r="O310" s="3" t="str">
        <f>IFERROR(__xludf.dummyfunction("""COMPUTED_VALUE"""),"0")</f>
        <v>0</v>
      </c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hidden="1" customHeight="1" spans="1:29">
      <c r="A311" s="3"/>
      <c r="B311" s="3" t="str">
        <f t="array" ref="B311">_xlfn.XLOOKUP(D311,Tabela_Dados_Esc_JAB_2026[INEP],Tabela_Dados_Esc_JAB_2026[REGIONAL],"NE",0)</f>
        <v>REGIONAL 3</v>
      </c>
      <c r="C311" s="4" t="str">
        <f>IFERROR(__xludf.dummyfunction("""COMPUTED_VALUE"""),"CRECHE MUNDO ENCANTADO")</f>
        <v>CRECHE MUNDO ENCANTADO</v>
      </c>
      <c r="D311" s="3" t="str">
        <f>IFERROR(__xludf.dummyfunction("""COMPUTED_VALUE"""),"26156261")</f>
        <v>26156261</v>
      </c>
      <c r="E311" s="3" t="str">
        <f>IFERROR(__xludf.dummyfunction("""COMPUTED_VALUE"""),"INFANTIL 1")</f>
        <v>INFANTIL 1</v>
      </c>
      <c r="F311" s="3" t="str">
        <f>IFERROR(__xludf.dummyfunction("""COMPUTED_VALUE"""),"Integral")</f>
        <v>Integral</v>
      </c>
      <c r="G311" s="3" t="str">
        <f>IFERROR(__xludf.dummyfunction("""COMPUTED_VALUE"""),"Comum")</f>
        <v>Comum</v>
      </c>
      <c r="H311" s="3" t="str">
        <f>IFERROR(__xludf.dummyfunction("""COMPUTED_VALUE"""),"11")</f>
        <v>11</v>
      </c>
      <c r="I311" s="147" t="str">
        <f>IFERROR(__xludf.dummyfunction("""COMPUTED_VALUE"""),"26092264958")</f>
        <v>26092264958</v>
      </c>
      <c r="J311" s="3" t="str">
        <f>IFERROR(__xludf.dummyfunction("""COMPUTED_VALUE"""),"21/09/2026 10:15:31")</f>
        <v>21/09/2026 10:15:31</v>
      </c>
      <c r="K311" s="3" t="str">
        <f>IFERROR(__xludf.dummyfunction("""COMPUTED_VALUE"""),"Ravi Pietro Souza do Nascimento")</f>
        <v>Ravi Pietro Souza do Nascimento</v>
      </c>
      <c r="L311" s="146" t="str">
        <f>IFERROR(__xludf.dummyfunction("""COMPUTED_VALUE"""),"004.720.044-84")</f>
        <v>004.720.044-84</v>
      </c>
      <c r="M311" s="146" t="str">
        <f>IFERROR(__xludf.dummyfunction("""COMPUTED_VALUE"""),"27/11/2024")</f>
        <v>27/11/2024</v>
      </c>
      <c r="N311" s="3"/>
      <c r="O311" s="3" t="str">
        <f>IFERROR(__xludf.dummyfunction("""COMPUTED_VALUE"""),"0")</f>
        <v>0</v>
      </c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hidden="1" customHeight="1" spans="1:29">
      <c r="A312" s="3"/>
      <c r="B312" s="3" t="str">
        <f t="array" ref="B312">_xlfn.XLOOKUP(D312,Tabela_Dados_Esc_JAB_2026[INEP],Tabela_Dados_Esc_JAB_2026[REGIONAL],"NE",0)</f>
        <v>REGIONAL 1</v>
      </c>
      <c r="C312" s="4" t="str">
        <f>IFERROR(__xludf.dummyfunction("""COMPUTED_VALUE"""),"CRECHE MUNICIPAL PROFESSORA MARIA RITA LINS MARTINS")</f>
        <v>CRECHE MUNICIPAL PROFESSORA MARIA RITA LINS MARTINS</v>
      </c>
      <c r="D312" s="3" t="str">
        <f>IFERROR(__xludf.dummyfunction("""COMPUTED_VALUE"""),"26188767")</f>
        <v>26188767</v>
      </c>
      <c r="E312" s="3" t="str">
        <f>IFERROR(__xludf.dummyfunction("""COMPUTED_VALUE"""),"INFANTIL 1")</f>
        <v>INFANTIL 1</v>
      </c>
      <c r="F312" s="3" t="str">
        <f>IFERROR(__xludf.dummyfunction("""COMPUTED_VALUE"""),"Integral")</f>
        <v>Integral</v>
      </c>
      <c r="G312" s="3" t="str">
        <f>IFERROR(__xludf.dummyfunction("""COMPUTED_VALUE"""),"Comum")</f>
        <v>Comum</v>
      </c>
      <c r="H312" s="3" t="str">
        <f>IFERROR(__xludf.dummyfunction("""COMPUTED_VALUE"""),"1")</f>
        <v>1</v>
      </c>
      <c r="I312" s="147" t="str">
        <f>IFERROR(__xludf.dummyfunction("""COMPUTED_VALUE"""),"26022345856")</f>
        <v>26022345856</v>
      </c>
      <c r="J312" s="3" t="str">
        <f>IFERROR(__xludf.dummyfunction("""COMPUTED_VALUE"""),"23/02/2026 09:25:20")</f>
        <v>23/02/2026 09:25:20</v>
      </c>
      <c r="K312" s="3" t="str">
        <f>IFERROR(__xludf.dummyfunction("""COMPUTED_VALUE"""),"LARISSA ELOÁ CALIXTO DE OLIVEIRA")</f>
        <v>LARISSA ELOÁ CALIXTO DE OLIVEIRA</v>
      </c>
      <c r="L312" s="146" t="str">
        <f>IFERROR(__xludf.dummyfunction("""COMPUTED_VALUE"""),"003.536.674-55")</f>
        <v>003.536.674-55</v>
      </c>
      <c r="M312" s="146" t="str">
        <f>IFERROR(__xludf.dummyfunction("""COMPUTED_VALUE"""),"08/07/2024")</f>
        <v>08/07/2024</v>
      </c>
      <c r="N312" s="3"/>
      <c r="O312" s="3" t="str">
        <f>IFERROR(__xludf.dummyfunction("""COMPUTED_VALUE"""),"0")</f>
        <v>0</v>
      </c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hidden="1" customHeight="1" spans="1:29">
      <c r="A313" s="3"/>
      <c r="B313" s="3" t="str">
        <f t="array" ref="B313">_xlfn.XLOOKUP(D313,Tabela_Dados_Esc_JAB_2026[INEP],Tabela_Dados_Esc_JAB_2026[REGIONAL],"NE",0)</f>
        <v>REGIONAL 1</v>
      </c>
      <c r="C313" s="4" t="str">
        <f>IFERROR(__xludf.dummyfunction("""COMPUTED_VALUE"""),"CRECHE MUNICIPAL PROFESSORA MARIA RITA LINS MARTINS")</f>
        <v>CRECHE MUNICIPAL PROFESSORA MARIA RITA LINS MARTINS</v>
      </c>
      <c r="D313" s="3" t="str">
        <f>IFERROR(__xludf.dummyfunction("""COMPUTED_VALUE"""),"26188767")</f>
        <v>26188767</v>
      </c>
      <c r="E313" s="3" t="str">
        <f>IFERROR(__xludf.dummyfunction("""COMPUTED_VALUE"""),"INFANTIL 1")</f>
        <v>INFANTIL 1</v>
      </c>
      <c r="F313" s="3" t="str">
        <f>IFERROR(__xludf.dummyfunction("""COMPUTED_VALUE"""),"Integral")</f>
        <v>Integral</v>
      </c>
      <c r="G313" s="3" t="str">
        <f>IFERROR(__xludf.dummyfunction("""COMPUTED_VALUE"""),"Comum")</f>
        <v>Comum</v>
      </c>
      <c r="H313" s="3" t="str">
        <f>IFERROR(__xludf.dummyfunction("""COMPUTED_VALUE"""),"2")</f>
        <v>2</v>
      </c>
      <c r="I313" s="147" t="str">
        <f>IFERROR(__xludf.dummyfunction("""COMPUTED_VALUE"""),"26022410210")</f>
        <v>26022410210</v>
      </c>
      <c r="J313" s="3" t="str">
        <f>IFERROR(__xludf.dummyfunction("""COMPUTED_VALUE"""),"23/02/2026 22:06:49")</f>
        <v>23/02/2026 22:06:49</v>
      </c>
      <c r="K313" s="3" t="str">
        <f>IFERROR(__xludf.dummyfunction("""COMPUTED_VALUE"""),"BRYAN SAMUEL SANTANA DA SILVA")</f>
        <v>BRYAN SAMUEL SANTANA DA SILVA</v>
      </c>
      <c r="L313" s="146" t="str">
        <f>IFERROR(__xludf.dummyfunction("""COMPUTED_VALUE"""),"004.324.334-73")</f>
        <v>004.324.334-73</v>
      </c>
      <c r="M313" s="146" t="str">
        <f>IFERROR(__xludf.dummyfunction("""COMPUTED_VALUE"""),"13/09/2024")</f>
        <v>13/09/2024</v>
      </c>
      <c r="N313" s="3"/>
      <c r="O313" s="3" t="str">
        <f>IFERROR(__xludf.dummyfunction("""COMPUTED_VALUE"""),"0")</f>
        <v>0</v>
      </c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hidden="1" customHeight="1" spans="1:29">
      <c r="A314" s="3"/>
      <c r="B314" s="3" t="str">
        <f t="array" ref="B314">_xlfn.XLOOKUP(D314,Tabela_Dados_Esc_JAB_2026[INEP],Tabela_Dados_Esc_JAB_2026[REGIONAL],"NE",0)</f>
        <v>REGIONAL 1</v>
      </c>
      <c r="C314" s="4" t="str">
        <f>IFERROR(__xludf.dummyfunction("""COMPUTED_VALUE"""),"CRECHE MUNICIPAL PROFESSORA MARIA RITA LINS MARTINS")</f>
        <v>CRECHE MUNICIPAL PROFESSORA MARIA RITA LINS MARTINS</v>
      </c>
      <c r="D314" s="3" t="str">
        <f>IFERROR(__xludf.dummyfunction("""COMPUTED_VALUE"""),"26188767")</f>
        <v>26188767</v>
      </c>
      <c r="E314" s="3" t="str">
        <f>IFERROR(__xludf.dummyfunction("""COMPUTED_VALUE"""),"INFANTIL 1")</f>
        <v>INFANTIL 1</v>
      </c>
      <c r="F314" s="3" t="str">
        <f>IFERROR(__xludf.dummyfunction("""COMPUTED_VALUE"""),"Integral")</f>
        <v>Integral</v>
      </c>
      <c r="G314" s="3" t="str">
        <f>IFERROR(__xludf.dummyfunction("""COMPUTED_VALUE"""),"Comum")</f>
        <v>Comum</v>
      </c>
      <c r="H314" s="3" t="str">
        <f>IFERROR(__xludf.dummyfunction("""COMPUTED_VALUE"""),"3")</f>
        <v>3</v>
      </c>
      <c r="I314" s="147" t="str">
        <f>IFERROR(__xludf.dummyfunction("""COMPUTED_VALUE"""),"26022911987")</f>
        <v>26022911987</v>
      </c>
      <c r="J314" s="3" t="str">
        <f>IFERROR(__xludf.dummyfunction("""COMPUTED_VALUE"""),"24/02/2026 10:47:32")</f>
        <v>24/02/2026 10:47:32</v>
      </c>
      <c r="K314" s="3" t="str">
        <f>IFERROR(__xludf.dummyfunction("""COMPUTED_VALUE"""),"MARIA HELOÍSA DA SILVA MENEZES")</f>
        <v>MARIA HELOÍSA DA SILVA MENEZES</v>
      </c>
      <c r="L314" s="146" t="str">
        <f>IFERROR(__xludf.dummyfunction("""COMPUTED_VALUE"""),"003.847.404-21")</f>
        <v>003.847.404-21</v>
      </c>
      <c r="M314" s="146" t="str">
        <f>IFERROR(__xludf.dummyfunction("""COMPUTED_VALUE"""),"17/08/2024")</f>
        <v>17/08/2024</v>
      </c>
      <c r="N314" s="3"/>
      <c r="O314" s="3" t="str">
        <f>IFERROR(__xludf.dummyfunction("""COMPUTED_VALUE"""),"0")</f>
        <v>0</v>
      </c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hidden="1" customHeight="1" spans="1:29">
      <c r="A315" s="3"/>
      <c r="B315" s="3" t="str">
        <f t="array" ref="B315">_xlfn.XLOOKUP(D315,Tabela_Dados_Esc_JAB_2026[INEP],Tabela_Dados_Esc_JAB_2026[REGIONAL],"NE",0)</f>
        <v>REGIONAL 1</v>
      </c>
      <c r="C315" s="4" t="str">
        <f>IFERROR(__xludf.dummyfunction("""COMPUTED_VALUE"""),"CRECHE MUNICIPAL PROFESSORA MARIA RITA LINS MARTINS")</f>
        <v>CRECHE MUNICIPAL PROFESSORA MARIA RITA LINS MARTINS</v>
      </c>
      <c r="D315" s="3" t="str">
        <f>IFERROR(__xludf.dummyfunction("""COMPUTED_VALUE"""),"26188767")</f>
        <v>26188767</v>
      </c>
      <c r="E315" s="3" t="str">
        <f>IFERROR(__xludf.dummyfunction("""COMPUTED_VALUE"""),"INFANTIL 1")</f>
        <v>INFANTIL 1</v>
      </c>
      <c r="F315" s="3" t="str">
        <f>IFERROR(__xludf.dummyfunction("""COMPUTED_VALUE"""),"Integral")</f>
        <v>Integral</v>
      </c>
      <c r="G315" s="3" t="str">
        <f>IFERROR(__xludf.dummyfunction("""COMPUTED_VALUE"""),"Comum")</f>
        <v>Comum</v>
      </c>
      <c r="H315" s="3" t="str">
        <f>IFERROR(__xludf.dummyfunction("""COMPUTED_VALUE"""),"4")</f>
        <v>4</v>
      </c>
      <c r="I315" s="147" t="str">
        <f>IFERROR(__xludf.dummyfunction("""COMPUTED_VALUE"""),"26052104400")</f>
        <v>26052104400</v>
      </c>
      <c r="J315" s="3" t="str">
        <f>IFERROR(__xludf.dummyfunction("""COMPUTED_VALUE"""),"10/05/2026 13:51:20")</f>
        <v>10/05/2026 13:51:20</v>
      </c>
      <c r="K315" s="3" t="str">
        <f>IFERROR(__xludf.dummyfunction("""COMPUTED_VALUE"""),"LUNA MAITÊ DA SILVA")</f>
        <v>LUNA MAITÊ DA SILVA</v>
      </c>
      <c r="L315" s="146" t="str">
        <f>IFERROR(__xludf.dummyfunction("""COMPUTED_VALUE"""),"007.052.864-01")</f>
        <v>007.052.864-01</v>
      </c>
      <c r="M315" s="146" t="str">
        <f>IFERROR(__xludf.dummyfunction("""COMPUTED_VALUE"""),"21/03/2025")</f>
        <v>21/03/2025</v>
      </c>
      <c r="N315" s="3"/>
      <c r="O315" s="3" t="str">
        <f>IFERROR(__xludf.dummyfunction("""COMPUTED_VALUE"""),"0")</f>
        <v>0</v>
      </c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hidden="1" customHeight="1" spans="1:29">
      <c r="A316" s="3"/>
      <c r="B316" s="3" t="str">
        <f t="array" ref="B316">_xlfn.XLOOKUP(D316,Tabela_Dados_Esc_JAB_2026[INEP],Tabela_Dados_Esc_JAB_2026[REGIONAL],"NE",0)</f>
        <v>REGIONAL 1</v>
      </c>
      <c r="C316" s="4" t="str">
        <f>IFERROR(__xludf.dummyfunction("""COMPUTED_VALUE"""),"CRECHE MUNICIPAL PROFESSORA MARIA RITA LINS MARTINS")</f>
        <v>CRECHE MUNICIPAL PROFESSORA MARIA RITA LINS MARTINS</v>
      </c>
      <c r="D316" s="3" t="str">
        <f>IFERROR(__xludf.dummyfunction("""COMPUTED_VALUE"""),"26188767")</f>
        <v>26188767</v>
      </c>
      <c r="E316" s="3" t="str">
        <f>IFERROR(__xludf.dummyfunction("""COMPUTED_VALUE"""),"INFANTIL 1")</f>
        <v>INFANTIL 1</v>
      </c>
      <c r="F316" s="3" t="str">
        <f>IFERROR(__xludf.dummyfunction("""COMPUTED_VALUE"""),"Integral")</f>
        <v>Integral</v>
      </c>
      <c r="G316" s="3" t="str">
        <f>IFERROR(__xludf.dummyfunction("""COMPUTED_VALUE"""),"Comum")</f>
        <v>Comum</v>
      </c>
      <c r="H316" s="3" t="str">
        <f>IFERROR(__xludf.dummyfunction("""COMPUTED_VALUE"""),"5")</f>
        <v>5</v>
      </c>
      <c r="I316" s="147" t="str">
        <f>IFERROR(__xludf.dummyfunction("""COMPUTED_VALUE"""),"26062034334")</f>
        <v>26062034334</v>
      </c>
      <c r="J316" s="3" t="str">
        <f>IFERROR(__xludf.dummyfunction("""COMPUTED_VALUE"""),"14/06/2026 18:20:08")</f>
        <v>14/06/2026 18:20:08</v>
      </c>
      <c r="K316" s="3" t="str">
        <f>IFERROR(__xludf.dummyfunction("""COMPUTED_VALUE"""),"Arthur Gabriel de Souza")</f>
        <v>Arthur Gabriel de Souza</v>
      </c>
      <c r="L316" s="146" t="str">
        <f>IFERROR(__xludf.dummyfunction("""COMPUTED_VALUE"""),"003.243.864-86")</f>
        <v>003.243.864-86</v>
      </c>
      <c r="M316" s="146" t="str">
        <f>IFERROR(__xludf.dummyfunction("""COMPUTED_VALUE"""),"31/05/2024")</f>
        <v>31/05/2024</v>
      </c>
      <c r="N316" s="3"/>
      <c r="O316" s="3" t="str">
        <f>IFERROR(__xludf.dummyfunction("""COMPUTED_VALUE"""),"0")</f>
        <v>0</v>
      </c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hidden="1" customHeight="1" spans="1:29">
      <c r="A317" s="3"/>
      <c r="B317" s="3" t="str">
        <f t="array" ref="B317">_xlfn.XLOOKUP(D317,Tabela_Dados_Esc_JAB_2026[INEP],Tabela_Dados_Esc_JAB_2026[REGIONAL],"NE",0)</f>
        <v>REGIONAL 1</v>
      </c>
      <c r="C317" s="4" t="str">
        <f>IFERROR(__xludf.dummyfunction("""COMPUTED_VALUE"""),"CRECHE MUNICIPAL PROFESSORA MARIA RITA LINS MARTINS")</f>
        <v>CRECHE MUNICIPAL PROFESSORA MARIA RITA LINS MARTINS</v>
      </c>
      <c r="D317" s="3" t="str">
        <f>IFERROR(__xludf.dummyfunction("""COMPUTED_VALUE"""),"26188767")</f>
        <v>26188767</v>
      </c>
      <c r="E317" s="3" t="str">
        <f>IFERROR(__xludf.dummyfunction("""COMPUTED_VALUE"""),"INFANTIL 1")</f>
        <v>INFANTIL 1</v>
      </c>
      <c r="F317" s="3" t="str">
        <f>IFERROR(__xludf.dummyfunction("""COMPUTED_VALUE"""),"Integral")</f>
        <v>Integral</v>
      </c>
      <c r="G317" s="3" t="str">
        <f>IFERROR(__xludf.dummyfunction("""COMPUTED_VALUE"""),"Comum")</f>
        <v>Comum</v>
      </c>
      <c r="H317" s="3" t="str">
        <f>IFERROR(__xludf.dummyfunction("""COMPUTED_VALUE"""),"6")</f>
        <v>6</v>
      </c>
      <c r="I317" s="147" t="str">
        <f>IFERROR(__xludf.dummyfunction("""COMPUTED_VALUE"""),"26062913119")</f>
        <v>26062913119</v>
      </c>
      <c r="J317" s="3" t="str">
        <f>IFERROR(__xludf.dummyfunction("""COMPUTED_VALUE"""),"25/06/2026 18:16:16")</f>
        <v>25/06/2026 18:16:16</v>
      </c>
      <c r="K317" s="3" t="str">
        <f>IFERROR(__xludf.dummyfunction("""COMPUTED_VALUE"""),"Jefferson Miguel Rangel santos")</f>
        <v>Jefferson Miguel Rangel santos</v>
      </c>
      <c r="L317" s="146" t="str">
        <f>IFERROR(__xludf.dummyfunction("""COMPUTED_VALUE"""),"004.984.504-73")</f>
        <v>004.984.504-73</v>
      </c>
      <c r="M317" s="146" t="str">
        <f>IFERROR(__xludf.dummyfunction("""COMPUTED_VALUE"""),"14/12/2024")</f>
        <v>14/12/2024</v>
      </c>
      <c r="N317" s="3"/>
      <c r="O317" s="3" t="str">
        <f>IFERROR(__xludf.dummyfunction("""COMPUTED_VALUE"""),"0")</f>
        <v>0</v>
      </c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hidden="1" customHeight="1" spans="1:29">
      <c r="A318" s="3"/>
      <c r="B318" s="3" t="str">
        <f t="array" ref="B318">_xlfn.XLOOKUP(D318,Tabela_Dados_Esc_JAB_2026[INEP],Tabela_Dados_Esc_JAB_2026[REGIONAL],"NE",0)</f>
        <v>REGIONAL 1</v>
      </c>
      <c r="C318" s="4" t="str">
        <f>IFERROR(__xludf.dummyfunction("""COMPUTED_VALUE"""),"CRECHE MUNICIPAL PROFESSORA MARIA RITA LINS MARTINS")</f>
        <v>CRECHE MUNICIPAL PROFESSORA MARIA RITA LINS MARTINS</v>
      </c>
      <c r="D318" s="3" t="str">
        <f>IFERROR(__xludf.dummyfunction("""COMPUTED_VALUE"""),"26188767")</f>
        <v>26188767</v>
      </c>
      <c r="E318" s="3" t="str">
        <f>IFERROR(__xludf.dummyfunction("""COMPUTED_VALUE"""),"INFANTIL 1")</f>
        <v>INFANTIL 1</v>
      </c>
      <c r="F318" s="3" t="str">
        <f>IFERROR(__xludf.dummyfunction("""COMPUTED_VALUE"""),"Integral")</f>
        <v>Integral</v>
      </c>
      <c r="G318" s="3" t="str">
        <f>IFERROR(__xludf.dummyfunction("""COMPUTED_VALUE"""),"Comum")</f>
        <v>Comum</v>
      </c>
      <c r="H318" s="3" t="str">
        <f>IFERROR(__xludf.dummyfunction("""COMPUTED_VALUE"""),"7")</f>
        <v>7</v>
      </c>
      <c r="I318" s="147" t="str">
        <f>IFERROR(__xludf.dummyfunction("""COMPUTED_VALUE"""),"26062732659")</f>
        <v>26062732659</v>
      </c>
      <c r="J318" s="3" t="str">
        <f>IFERROR(__xludf.dummyfunction("""COMPUTED_VALUE"""),"29/06/2026 11:34:07")</f>
        <v>29/06/2026 11:34:07</v>
      </c>
      <c r="K318" s="3" t="str">
        <f>IFERROR(__xludf.dummyfunction("""COMPUTED_VALUE"""),"Henry Santino Cavalcante souza")</f>
        <v>Henry Santino Cavalcante souza</v>
      </c>
      <c r="L318" s="146" t="str">
        <f>IFERROR(__xludf.dummyfunction("""COMPUTED_VALUE"""),"011.472.264-15")</f>
        <v>011.472.264-15</v>
      </c>
      <c r="M318" s="146" t="str">
        <f>IFERROR(__xludf.dummyfunction("""COMPUTED_VALUE"""),"24/09/2025")</f>
        <v>24/09/2025</v>
      </c>
      <c r="N318" s="3"/>
      <c r="O318" s="3" t="str">
        <f>IFERROR(__xludf.dummyfunction("""COMPUTED_VALUE"""),"0")</f>
        <v>0</v>
      </c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hidden="1" customHeight="1" spans="1:29">
      <c r="A319" s="3"/>
      <c r="B319" s="3" t="str">
        <f t="array" ref="B319">_xlfn.XLOOKUP(D319,Tabela_Dados_Esc_JAB_2026[INEP],Tabela_Dados_Esc_JAB_2026[REGIONAL],"NE",0)</f>
        <v>REGIONAL 1</v>
      </c>
      <c r="C319" s="4" t="str">
        <f>IFERROR(__xludf.dummyfunction("""COMPUTED_VALUE"""),"CRECHE MUNICIPAL PROFESSORA MARIA RITA LINS MARTINS")</f>
        <v>CRECHE MUNICIPAL PROFESSORA MARIA RITA LINS MARTINS</v>
      </c>
      <c r="D319" s="3" t="str">
        <f>IFERROR(__xludf.dummyfunction("""COMPUTED_VALUE"""),"26188767")</f>
        <v>26188767</v>
      </c>
      <c r="E319" s="3" t="str">
        <f>IFERROR(__xludf.dummyfunction("""COMPUTED_VALUE"""),"INFANTIL 1")</f>
        <v>INFANTIL 1</v>
      </c>
      <c r="F319" s="3" t="str">
        <f>IFERROR(__xludf.dummyfunction("""COMPUTED_VALUE"""),"Integral")</f>
        <v>Integral</v>
      </c>
      <c r="G319" s="3" t="str">
        <f>IFERROR(__xludf.dummyfunction("""COMPUTED_VALUE"""),"Comum")</f>
        <v>Comum</v>
      </c>
      <c r="H319" s="3" t="str">
        <f>IFERROR(__xludf.dummyfunction("""COMPUTED_VALUE"""),"8")</f>
        <v>8</v>
      </c>
      <c r="I319" s="147" t="str">
        <f>IFERROR(__xludf.dummyfunction("""COMPUTED_VALUE"""),"26082311397")</f>
        <v>26082311397</v>
      </c>
      <c r="J319" s="3" t="str">
        <f>IFERROR(__xludf.dummyfunction("""COMPUTED_VALUE"""),"21/08/2026 12:22:12")</f>
        <v>21/08/2026 12:22:12</v>
      </c>
      <c r="K319" s="3" t="str">
        <f>IFERROR(__xludf.dummyfunction("""COMPUTED_VALUE"""),"Maria Alice França Maciel Costa")</f>
        <v>Maria Alice França Maciel Costa</v>
      </c>
      <c r="L319" s="146" t="str">
        <f>IFERROR(__xludf.dummyfunction("""COMPUTED_VALUE"""),"007.113.324-01")</f>
        <v>007.113.324-01</v>
      </c>
      <c r="M319" s="146" t="str">
        <f>IFERROR(__xludf.dummyfunction("""COMPUTED_VALUE"""),"11/04/2025")</f>
        <v>11/04/2025</v>
      </c>
      <c r="N319" s="3"/>
      <c r="O319" s="3" t="str">
        <f>IFERROR(__xludf.dummyfunction("""COMPUTED_VALUE"""),"0")</f>
        <v>0</v>
      </c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hidden="1" customHeight="1" spans="1:29">
      <c r="A320" s="3"/>
      <c r="B320" s="3" t="str">
        <f t="array" ref="B320">_xlfn.XLOOKUP(D320,Tabela_Dados_Esc_JAB_2026[INEP],Tabela_Dados_Esc_JAB_2026[REGIONAL],"NE",0)</f>
        <v>REGIONAL 1</v>
      </c>
      <c r="C320" s="4" t="str">
        <f>IFERROR(__xludf.dummyfunction("""COMPUTED_VALUE"""),"CRECHE MUNICIPAL PROFESSORA MARIA RITA LINS MARTINS")</f>
        <v>CRECHE MUNICIPAL PROFESSORA MARIA RITA LINS MARTINS</v>
      </c>
      <c r="D320" s="3" t="str">
        <f>IFERROR(__xludf.dummyfunction("""COMPUTED_VALUE"""),"26188767")</f>
        <v>26188767</v>
      </c>
      <c r="E320" s="3" t="str">
        <f>IFERROR(__xludf.dummyfunction("""COMPUTED_VALUE"""),"INFANTIL 1")</f>
        <v>INFANTIL 1</v>
      </c>
      <c r="F320" s="3" t="str">
        <f>IFERROR(__xludf.dummyfunction("""COMPUTED_VALUE"""),"Integral")</f>
        <v>Integral</v>
      </c>
      <c r="G320" s="3" t="str">
        <f>IFERROR(__xludf.dummyfunction("""COMPUTED_VALUE"""),"Comum")</f>
        <v>Comum</v>
      </c>
      <c r="H320" s="3" t="str">
        <f>IFERROR(__xludf.dummyfunction("""COMPUTED_VALUE"""),"9")</f>
        <v>9</v>
      </c>
      <c r="I320" s="147" t="str">
        <f>IFERROR(__xludf.dummyfunction("""COMPUTED_VALUE"""),"26092311943")</f>
        <v>26092311943</v>
      </c>
      <c r="J320" s="3" t="str">
        <f>IFERROR(__xludf.dummyfunction("""COMPUTED_VALUE"""),"31/08/2026 22:56:10")</f>
        <v>31/08/2026 22:56:10</v>
      </c>
      <c r="K320" s="3" t="str">
        <f>IFERROR(__xludf.dummyfunction("""COMPUTED_VALUE"""),"Allan Daher da Silva Tinoco")</f>
        <v>Allan Daher da Silva Tinoco</v>
      </c>
      <c r="L320" s="146" t="str">
        <f>IFERROR(__xludf.dummyfunction("""COMPUTED_VALUE"""),"003.949.454-33")</f>
        <v>003.949.454-33</v>
      </c>
      <c r="M320" s="146" t="str">
        <f>IFERROR(__xludf.dummyfunction("""COMPUTED_VALUE"""),"26/08/2024")</f>
        <v>26/08/2024</v>
      </c>
      <c r="N320" s="3"/>
      <c r="O320" s="3" t="str">
        <f>IFERROR(__xludf.dummyfunction("""COMPUTED_VALUE"""),"0")</f>
        <v>0</v>
      </c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hidden="1" customHeight="1" spans="1:29">
      <c r="A321" s="3"/>
      <c r="B321" s="3" t="str">
        <f t="array" ref="B321">_xlfn.XLOOKUP(D321,Tabela_Dados_Esc_JAB_2026[INEP],Tabela_Dados_Esc_JAB_2026[REGIONAL],"NE",0)</f>
        <v>REGIONAL 1</v>
      </c>
      <c r="C321" s="4" t="str">
        <f>IFERROR(__xludf.dummyfunction("""COMPUTED_VALUE"""),"CRECHE MUNICIPAL PROFESSORA MARIA RITA LINS MARTINS")</f>
        <v>CRECHE MUNICIPAL PROFESSORA MARIA RITA LINS MARTINS</v>
      </c>
      <c r="D321" s="3" t="str">
        <f>IFERROR(__xludf.dummyfunction("""COMPUTED_VALUE"""),"26188767")</f>
        <v>26188767</v>
      </c>
      <c r="E321" s="3" t="str">
        <f>IFERROR(__xludf.dummyfunction("""COMPUTED_VALUE"""),"INFANTIL 2")</f>
        <v>INFANTIL 2</v>
      </c>
      <c r="F321" s="3" t="str">
        <f>IFERROR(__xludf.dummyfunction("""COMPUTED_VALUE"""),"Integral")</f>
        <v>Integral</v>
      </c>
      <c r="G321" s="3" t="str">
        <f>IFERROR(__xludf.dummyfunction("""COMPUTED_VALUE"""),"Comum")</f>
        <v>Comum</v>
      </c>
      <c r="H321" s="3" t="str">
        <f>IFERROR(__xludf.dummyfunction("""COMPUTED_VALUE"""),"1")</f>
        <v>1</v>
      </c>
      <c r="I321" s="147" t="str">
        <f>IFERROR(__xludf.dummyfunction("""COMPUTED_VALUE"""),"26012212414")</f>
        <v>26012212414</v>
      </c>
      <c r="J321" s="3" t="str">
        <f>IFERROR(__xludf.dummyfunction("""COMPUTED_VALUE"""),"30/01/2026 13:46:37")</f>
        <v>30/01/2026 13:46:37</v>
      </c>
      <c r="K321" s="3" t="str">
        <f>IFERROR(__xludf.dummyfunction("""COMPUTED_VALUE"""),"LUCAS MIGUEL DA SILVA PARAÍSO")</f>
        <v>LUCAS MIGUEL DA SILVA PARAÍSO</v>
      </c>
      <c r="L321" s="146" t="str">
        <f>IFERROR(__xludf.dummyfunction("""COMPUTED_VALUE"""),"001.835.364-95")</f>
        <v>001.835.364-95</v>
      </c>
      <c r="M321" s="146" t="str">
        <f>IFERROR(__xludf.dummyfunction("""COMPUTED_VALUE"""),"24/01/2024")</f>
        <v>24/01/2024</v>
      </c>
      <c r="N321" s="3"/>
      <c r="O321" s="3" t="str">
        <f>IFERROR(__xludf.dummyfunction("""COMPUTED_VALUE"""),"0")</f>
        <v>0</v>
      </c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hidden="1" customHeight="1" spans="1:29">
      <c r="A322" s="3"/>
      <c r="B322" s="3" t="str">
        <f t="array" ref="B322">_xlfn.XLOOKUP(D322,Tabela_Dados_Esc_JAB_2026[INEP],Tabela_Dados_Esc_JAB_2026[REGIONAL],"NE",0)</f>
        <v>REGIONAL 1</v>
      </c>
      <c r="C322" s="4" t="str">
        <f>IFERROR(__xludf.dummyfunction("""COMPUTED_VALUE"""),"CRECHE MUNICIPAL PROFESSORA MARIA RITA LINS MARTINS")</f>
        <v>CRECHE MUNICIPAL PROFESSORA MARIA RITA LINS MARTINS</v>
      </c>
      <c r="D322" s="3" t="str">
        <f>IFERROR(__xludf.dummyfunction("""COMPUTED_VALUE"""),"26188767")</f>
        <v>26188767</v>
      </c>
      <c r="E322" s="3" t="str">
        <f>IFERROR(__xludf.dummyfunction("""COMPUTED_VALUE"""),"INFANTIL 2")</f>
        <v>INFANTIL 2</v>
      </c>
      <c r="F322" s="3" t="str">
        <f>IFERROR(__xludf.dummyfunction("""COMPUTED_VALUE"""),"Integral")</f>
        <v>Integral</v>
      </c>
      <c r="G322" s="3" t="str">
        <f>IFERROR(__xludf.dummyfunction("""COMPUTED_VALUE"""),"Comum")</f>
        <v>Comum</v>
      </c>
      <c r="H322" s="3" t="str">
        <f>IFERROR(__xludf.dummyfunction("""COMPUTED_VALUE"""),"2")</f>
        <v>2</v>
      </c>
      <c r="I322" s="145" t="str">
        <f>IFERROR(__xludf.dummyfunction("""COMPUTED_VALUE"""),"26032777638")</f>
        <v>26032777638</v>
      </c>
      <c r="J322" s="3" t="str">
        <f>IFERROR(__xludf.dummyfunction("""COMPUTED_VALUE"""),"08/03/2026 00:13:08")</f>
        <v>08/03/2026 00:13:08</v>
      </c>
      <c r="K322" s="3" t="str">
        <f>IFERROR(__xludf.dummyfunction("""COMPUTED_VALUE"""),"HEITOR GABRIEL SANTANA GOMES DA SILVA")</f>
        <v>HEITOR GABRIEL SANTANA GOMES DA SILVA</v>
      </c>
      <c r="L322" s="146" t="str">
        <f>IFERROR(__xludf.dummyfunction("""COMPUTED_VALUE"""),"186.023.384-81")</f>
        <v>186.023.384-81</v>
      </c>
      <c r="M322" s="146" t="str">
        <f>IFERROR(__xludf.dummyfunction("""COMPUTED_VALUE"""),"19/07/2023")</f>
        <v>19/07/2023</v>
      </c>
      <c r="N322" s="3"/>
      <c r="O322" s="3" t="str">
        <f>IFERROR(__xludf.dummyfunction("""COMPUTED_VALUE"""),"0")</f>
        <v>0</v>
      </c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hidden="1" customHeight="1" spans="1:29">
      <c r="A323" s="3"/>
      <c r="B323" s="3" t="str">
        <f t="array" ref="B323">_xlfn.XLOOKUP(D323,Tabela_Dados_Esc_JAB_2026[INEP],Tabela_Dados_Esc_JAB_2026[REGIONAL],"NE",0)</f>
        <v>REGIONAL 1</v>
      </c>
      <c r="C323" s="4" t="str">
        <f>IFERROR(__xludf.dummyfunction("""COMPUTED_VALUE"""),"CRECHE MUNICIPAL PROFESSORA MARIA RITA LINS MARTINS")</f>
        <v>CRECHE MUNICIPAL PROFESSORA MARIA RITA LINS MARTINS</v>
      </c>
      <c r="D323" s="3" t="str">
        <f>IFERROR(__xludf.dummyfunction("""COMPUTED_VALUE"""),"26188767")</f>
        <v>26188767</v>
      </c>
      <c r="E323" s="3" t="str">
        <f>IFERROR(__xludf.dummyfunction("""COMPUTED_VALUE"""),"INFANTIL 2")</f>
        <v>INFANTIL 2</v>
      </c>
      <c r="F323" s="3" t="str">
        <f>IFERROR(__xludf.dummyfunction("""COMPUTED_VALUE"""),"Integral")</f>
        <v>Integral</v>
      </c>
      <c r="G323" s="3" t="str">
        <f>IFERROR(__xludf.dummyfunction("""COMPUTED_VALUE"""),"Comum")</f>
        <v>Comum</v>
      </c>
      <c r="H323" s="3" t="str">
        <f>IFERROR(__xludf.dummyfunction("""COMPUTED_VALUE"""),"3")</f>
        <v>3</v>
      </c>
      <c r="I323" s="145" t="str">
        <f>IFERROR(__xludf.dummyfunction("""COMPUTED_VALUE"""),"26032956018")</f>
        <v>26032956018</v>
      </c>
      <c r="J323" s="3" t="str">
        <f>IFERROR(__xludf.dummyfunction("""COMPUTED_VALUE"""),"11/03/2026 10:30:16")</f>
        <v>11/03/2026 10:30:16</v>
      </c>
      <c r="K323" s="3" t="str">
        <f>IFERROR(__xludf.dummyfunction("""COMPUTED_VALUE"""),"LORENZO SANTANA PAIXAO")</f>
        <v>LORENZO SANTANA PAIXAO</v>
      </c>
      <c r="L323" s="146" t="str">
        <f>IFERROR(__xludf.dummyfunction("""COMPUTED_VALUE"""),"001.257.584-48")</f>
        <v>001.257.584-48</v>
      </c>
      <c r="M323" s="146" t="str">
        <f>IFERROR(__xludf.dummyfunction("""COMPUTED_VALUE"""),"11/12/2023")</f>
        <v>11/12/2023</v>
      </c>
      <c r="N323" s="3"/>
      <c r="O323" s="3" t="str">
        <f>IFERROR(__xludf.dummyfunction("""COMPUTED_VALUE"""),"0")</f>
        <v>0</v>
      </c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hidden="1" customHeight="1" spans="1:29">
      <c r="A324" s="3"/>
      <c r="B324" s="3" t="str">
        <f t="array" ref="B324">_xlfn.XLOOKUP(D324,Tabela_Dados_Esc_JAB_2026[INEP],Tabela_Dados_Esc_JAB_2026[REGIONAL],"NE",0)</f>
        <v>REGIONAL 1</v>
      </c>
      <c r="C324" s="4" t="str">
        <f>IFERROR(__xludf.dummyfunction("""COMPUTED_VALUE"""),"CRECHE MUNICIPAL PROFESSORA MARIA RITA LINS MARTINS")</f>
        <v>CRECHE MUNICIPAL PROFESSORA MARIA RITA LINS MARTINS</v>
      </c>
      <c r="D324" s="3" t="str">
        <f>IFERROR(__xludf.dummyfunction("""COMPUTED_VALUE"""),"26188767")</f>
        <v>26188767</v>
      </c>
      <c r="E324" s="3" t="str">
        <f>IFERROR(__xludf.dummyfunction("""COMPUTED_VALUE"""),"INFANTIL 2")</f>
        <v>INFANTIL 2</v>
      </c>
      <c r="F324" s="3" t="str">
        <f>IFERROR(__xludf.dummyfunction("""COMPUTED_VALUE"""),"Integral")</f>
        <v>Integral</v>
      </c>
      <c r="G324" s="3" t="str">
        <f>IFERROR(__xludf.dummyfunction("""COMPUTED_VALUE"""),"Comum")</f>
        <v>Comum</v>
      </c>
      <c r="H324" s="3" t="str">
        <f>IFERROR(__xludf.dummyfunction("""COMPUTED_VALUE"""),"4")</f>
        <v>4</v>
      </c>
      <c r="I324" s="147" t="str">
        <f>IFERROR(__xludf.dummyfunction("""COMPUTED_VALUE"""),"26032966119")</f>
        <v>26032966119</v>
      </c>
      <c r="J324" s="3" t="str">
        <f>IFERROR(__xludf.dummyfunction("""COMPUTED_VALUE"""),"17/03/2026 08:58:14")</f>
        <v>17/03/2026 08:58:14</v>
      </c>
      <c r="K324" s="3" t="str">
        <f>IFERROR(__xludf.dummyfunction("""COMPUTED_VALUE"""),"LETÍCIA RIBAS DA LUZ")</f>
        <v>LETÍCIA RIBAS DA LUZ</v>
      </c>
      <c r="L324" s="146" t="str">
        <f>IFERROR(__xludf.dummyfunction("""COMPUTED_VALUE"""),"001.930.104-96")</f>
        <v>001.930.104-96</v>
      </c>
      <c r="M324" s="146" t="str">
        <f>IFERROR(__xludf.dummyfunction("""COMPUTED_VALUE"""),"09/03/2024")</f>
        <v>09/03/2024</v>
      </c>
      <c r="N324" s="3"/>
      <c r="O324" s="3" t="str">
        <f>IFERROR(__xludf.dummyfunction("""COMPUTED_VALUE"""),"0")</f>
        <v>0</v>
      </c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hidden="1" customHeight="1" spans="1:29">
      <c r="A325" s="3"/>
      <c r="B325" s="3" t="str">
        <f t="array" ref="B325">_xlfn.XLOOKUP(D325,Tabela_Dados_Esc_JAB_2026[INEP],Tabela_Dados_Esc_JAB_2026[REGIONAL],"NE",0)</f>
        <v>REGIONAL 1</v>
      </c>
      <c r="C325" s="4" t="str">
        <f>IFERROR(__xludf.dummyfunction("""COMPUTED_VALUE"""),"CRECHE MUNICIPAL PROFESSORA MARIA RITA LINS MARTINS")</f>
        <v>CRECHE MUNICIPAL PROFESSORA MARIA RITA LINS MARTINS</v>
      </c>
      <c r="D325" s="3" t="str">
        <f>IFERROR(__xludf.dummyfunction("""COMPUTED_VALUE"""),"26188767")</f>
        <v>26188767</v>
      </c>
      <c r="E325" s="3" t="str">
        <f>IFERROR(__xludf.dummyfunction("""COMPUTED_VALUE"""),"INFANTIL 2")</f>
        <v>INFANTIL 2</v>
      </c>
      <c r="F325" s="3" t="str">
        <f>IFERROR(__xludf.dummyfunction("""COMPUTED_VALUE"""),"Integral")</f>
        <v>Integral</v>
      </c>
      <c r="G325" s="3" t="str">
        <f>IFERROR(__xludf.dummyfunction("""COMPUTED_VALUE"""),"Comum")</f>
        <v>Comum</v>
      </c>
      <c r="H325" s="3" t="str">
        <f>IFERROR(__xludf.dummyfunction("""COMPUTED_VALUE"""),"5")</f>
        <v>5</v>
      </c>
      <c r="I325" s="147" t="str">
        <f>IFERROR(__xludf.dummyfunction("""COMPUTED_VALUE"""),"26042756277")</f>
        <v>26042756277</v>
      </c>
      <c r="J325" s="3" t="str">
        <f>IFERROR(__xludf.dummyfunction("""COMPUTED_VALUE"""),"16/04/2026 17:20:01")</f>
        <v>16/04/2026 17:20:01</v>
      </c>
      <c r="K325" s="3" t="str">
        <f>IFERROR(__xludf.dummyfunction("""COMPUTED_VALUE"""),"MARIA CLARA DOS SANTOS CHAVES MARTINS")</f>
        <v>MARIA CLARA DOS SANTOS CHAVES MARTINS</v>
      </c>
      <c r="L325" s="146" t="str">
        <f>IFERROR(__xludf.dummyfunction("""COMPUTED_VALUE"""),"185.113.384-46")</f>
        <v>185.113.384-46</v>
      </c>
      <c r="M325" s="146" t="str">
        <f>IFERROR(__xludf.dummyfunction("""COMPUTED_VALUE"""),"17/04/2023")</f>
        <v>17/04/2023</v>
      </c>
      <c r="N325" s="3"/>
      <c r="O325" s="3" t="str">
        <f>IFERROR(__xludf.dummyfunction("""COMPUTED_VALUE"""),"0")</f>
        <v>0</v>
      </c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hidden="1" customHeight="1" spans="1:29">
      <c r="A326" s="3"/>
      <c r="B326" s="3" t="str">
        <f t="array" ref="B326">_xlfn.XLOOKUP(D326,Tabela_Dados_Esc_JAB_2026[INEP],Tabela_Dados_Esc_JAB_2026[REGIONAL],"NE",0)</f>
        <v>REGIONAL 1</v>
      </c>
      <c r="C326" s="4" t="str">
        <f>IFERROR(__xludf.dummyfunction("""COMPUTED_VALUE"""),"CRECHE MUNICIPAL PROFESSORA MARIA RITA LINS MARTINS")</f>
        <v>CRECHE MUNICIPAL PROFESSORA MARIA RITA LINS MARTINS</v>
      </c>
      <c r="D326" s="3" t="str">
        <f>IFERROR(__xludf.dummyfunction("""COMPUTED_VALUE"""),"26188767")</f>
        <v>26188767</v>
      </c>
      <c r="E326" s="3" t="str">
        <f>IFERROR(__xludf.dummyfunction("""COMPUTED_VALUE"""),"INFANTIL 2")</f>
        <v>INFANTIL 2</v>
      </c>
      <c r="F326" s="3" t="str">
        <f>IFERROR(__xludf.dummyfunction("""COMPUTED_VALUE"""),"Integral")</f>
        <v>Integral</v>
      </c>
      <c r="G326" s="3" t="str">
        <f>IFERROR(__xludf.dummyfunction("""COMPUTED_VALUE"""),"Comum")</f>
        <v>Comum</v>
      </c>
      <c r="H326" s="3" t="str">
        <f>IFERROR(__xludf.dummyfunction("""COMPUTED_VALUE"""),"6")</f>
        <v>6</v>
      </c>
      <c r="I326" s="147" t="str">
        <f>IFERROR(__xludf.dummyfunction("""COMPUTED_VALUE"""),"26052484547")</f>
        <v>26052484547</v>
      </c>
      <c r="J326" s="3" t="str">
        <f>IFERROR(__xludf.dummyfunction("""COMPUTED_VALUE"""),"13/05/2026 08:10:15")</f>
        <v>13/05/2026 08:10:15</v>
      </c>
      <c r="K326" s="3" t="str">
        <f>IFERROR(__xludf.dummyfunction("""COMPUTED_VALUE"""),"THAYLLA MELISSA OLIVEIRA DOS SANTOS")</f>
        <v>THAYLLA MELISSA OLIVEIRA DOS SANTOS</v>
      </c>
      <c r="L326" s="146" t="str">
        <f>IFERROR(__xludf.dummyfunction("""COMPUTED_VALUE"""),"186.284.484-46")</f>
        <v>186.284.484-46</v>
      </c>
      <c r="M326" s="146" t="str">
        <f>IFERROR(__xludf.dummyfunction("""COMPUTED_VALUE"""),"16/08/2023")</f>
        <v>16/08/2023</v>
      </c>
      <c r="N326" s="3"/>
      <c r="O326" s="3" t="str">
        <f>IFERROR(__xludf.dummyfunction("""COMPUTED_VALUE"""),"0")</f>
        <v>0</v>
      </c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hidden="1" customHeight="1" spans="1:29">
      <c r="A327" s="3"/>
      <c r="B327" s="3" t="str">
        <f t="array" ref="B327">_xlfn.XLOOKUP(D327,Tabela_Dados_Esc_JAB_2026[INEP],Tabela_Dados_Esc_JAB_2026[REGIONAL],"NE",0)</f>
        <v>REGIONAL 1</v>
      </c>
      <c r="C327" s="4" t="str">
        <f>IFERROR(__xludf.dummyfunction("""COMPUTED_VALUE"""),"CRECHE MUNICIPAL PROFESSORA MARIA RITA LINS MARTINS")</f>
        <v>CRECHE MUNICIPAL PROFESSORA MARIA RITA LINS MARTINS</v>
      </c>
      <c r="D327" s="3" t="str">
        <f>IFERROR(__xludf.dummyfunction("""COMPUTED_VALUE"""),"26188767")</f>
        <v>26188767</v>
      </c>
      <c r="E327" s="3" t="str">
        <f>IFERROR(__xludf.dummyfunction("""COMPUTED_VALUE"""),"INFANTIL 3")</f>
        <v>INFANTIL 3</v>
      </c>
      <c r="F327" s="3" t="str">
        <f>IFERROR(__xludf.dummyfunction("""COMPUTED_VALUE"""),"Integral")</f>
        <v>Integral</v>
      </c>
      <c r="G327" s="3" t="str">
        <f>IFERROR(__xludf.dummyfunction("""COMPUTED_VALUE"""),"Comum")</f>
        <v>Comum</v>
      </c>
      <c r="H327" s="3" t="str">
        <f>IFERROR(__xludf.dummyfunction("""COMPUTED_VALUE"""),"1")</f>
        <v>1</v>
      </c>
      <c r="I327" s="147" t="str">
        <f>IFERROR(__xludf.dummyfunction("""COMPUTED_VALUE"""),"26042285207")</f>
        <v>26042285207</v>
      </c>
      <c r="J327" s="3" t="str">
        <f>IFERROR(__xludf.dummyfunction("""COMPUTED_VALUE"""),"16/04/2026 17:16:18")</f>
        <v>16/04/2026 17:16:18</v>
      </c>
      <c r="K327" s="3" t="str">
        <f>IFERROR(__xludf.dummyfunction("""COMPUTED_VALUE"""),"MARCELO GUILHERME DOS SANTOS CHAVES MARTINS")</f>
        <v>MARCELO GUILHERME DOS SANTOS CHAVES MARTINS</v>
      </c>
      <c r="L327" s="146" t="str">
        <f>IFERROR(__xludf.dummyfunction("""COMPUTED_VALUE"""),"181.266.334-09")</f>
        <v>181.266.334-09</v>
      </c>
      <c r="M327" s="146" t="str">
        <f>IFERROR(__xludf.dummyfunction("""COMPUTED_VALUE"""),"11/04/2022")</f>
        <v>11/04/2022</v>
      </c>
      <c r="N327" s="3"/>
      <c r="O327" s="3" t="str">
        <f>IFERROR(__xludf.dummyfunction("""COMPUTED_VALUE"""),"0")</f>
        <v>0</v>
      </c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hidden="1" customHeight="1" spans="1:29">
      <c r="A328" s="3"/>
      <c r="B328" s="3" t="str">
        <f t="array" ref="B328">_xlfn.XLOOKUP(D328,Tabela_Dados_Esc_JAB_2026[INEP],Tabela_Dados_Esc_JAB_2026[REGIONAL],"NE",0)</f>
        <v>REGIONAL 1</v>
      </c>
      <c r="C328" s="4" t="str">
        <f>IFERROR(__xludf.dummyfunction("""COMPUTED_VALUE"""),"CRECHE MUNICIPAL PROFESSORA MARIA RITA LINS MARTINS")</f>
        <v>CRECHE MUNICIPAL PROFESSORA MARIA RITA LINS MARTINS</v>
      </c>
      <c r="D328" s="3" t="str">
        <f>IFERROR(__xludf.dummyfunction("""COMPUTED_VALUE"""),"26188767")</f>
        <v>26188767</v>
      </c>
      <c r="E328" s="3" t="str">
        <f>IFERROR(__xludf.dummyfunction("""COMPUTED_VALUE"""),"INFANTIL 3")</f>
        <v>INFANTIL 3</v>
      </c>
      <c r="F328" s="3" t="str">
        <f>IFERROR(__xludf.dummyfunction("""COMPUTED_VALUE"""),"Integral")</f>
        <v>Integral</v>
      </c>
      <c r="G328" s="3" t="str">
        <f>IFERROR(__xludf.dummyfunction("""COMPUTED_VALUE"""),"Comum")</f>
        <v>Comum</v>
      </c>
      <c r="H328" s="3" t="str">
        <f>IFERROR(__xludf.dummyfunction("""COMPUTED_VALUE"""),"2")</f>
        <v>2</v>
      </c>
      <c r="I328" s="147" t="str">
        <f>IFERROR(__xludf.dummyfunction("""COMPUTED_VALUE"""),"26052447097")</f>
        <v>26052447097</v>
      </c>
      <c r="J328" s="3" t="str">
        <f>IFERROR(__xludf.dummyfunction("""COMPUTED_VALUE"""),"10/05/2026 13:58:19")</f>
        <v>10/05/2026 13:58:19</v>
      </c>
      <c r="K328" s="3" t="str">
        <f>IFERROR(__xludf.dummyfunction("""COMPUTED_VALUE"""),"DAVI EMANOEL DE MELO")</f>
        <v>DAVI EMANOEL DE MELO</v>
      </c>
      <c r="L328" s="146" t="str">
        <f>IFERROR(__xludf.dummyfunction("""COMPUTED_VALUE"""),"184.254.274-52")</f>
        <v>184.254.274-52</v>
      </c>
      <c r="M328" s="146" t="str">
        <f>IFERROR(__xludf.dummyfunction("""COMPUTED_VALUE"""),"07/01/2023")</f>
        <v>07/01/2023</v>
      </c>
      <c r="N328" s="3"/>
      <c r="O328" s="3" t="str">
        <f>IFERROR(__xludf.dummyfunction("""COMPUTED_VALUE"""),"0")</f>
        <v>0</v>
      </c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hidden="1" customHeight="1" spans="1:29">
      <c r="A329" s="3"/>
      <c r="B329" s="3" t="str">
        <f t="array" ref="B329">_xlfn.XLOOKUP(D329,Tabela_Dados_Esc_JAB_2026[INEP],Tabela_Dados_Esc_JAB_2026[REGIONAL],"NE",0)</f>
        <v>REGIONAL 1</v>
      </c>
      <c r="C329" s="4" t="str">
        <f>IFERROR(__xludf.dummyfunction("""COMPUTED_VALUE"""),"CRECHE MUNICIPAL PROFESSORA MARIA RITA LINS MARTINS")</f>
        <v>CRECHE MUNICIPAL PROFESSORA MARIA RITA LINS MARTINS</v>
      </c>
      <c r="D329" s="3" t="str">
        <f>IFERROR(__xludf.dummyfunction("""COMPUTED_VALUE"""),"26188767")</f>
        <v>26188767</v>
      </c>
      <c r="E329" s="3" t="str">
        <f>IFERROR(__xludf.dummyfunction("""COMPUTED_VALUE"""),"INFANTIL 3")</f>
        <v>INFANTIL 3</v>
      </c>
      <c r="F329" s="3" t="str">
        <f>IFERROR(__xludf.dummyfunction("""COMPUTED_VALUE"""),"Integral")</f>
        <v>Integral</v>
      </c>
      <c r="G329" s="3" t="str">
        <f>IFERROR(__xludf.dummyfunction("""COMPUTED_VALUE"""),"Comum")</f>
        <v>Comum</v>
      </c>
      <c r="H329" s="3" t="str">
        <f>IFERROR(__xludf.dummyfunction("""COMPUTED_VALUE"""),"3")</f>
        <v>3</v>
      </c>
      <c r="I329" s="147" t="str">
        <f>IFERROR(__xludf.dummyfunction("""COMPUTED_VALUE"""),"26062012113")</f>
        <v>26062012113</v>
      </c>
      <c r="J329" s="3" t="str">
        <f>IFERROR(__xludf.dummyfunction("""COMPUTED_VALUE"""),"15/06/2026 14:59:35")</f>
        <v>15/06/2026 14:59:35</v>
      </c>
      <c r="K329" s="3" t="str">
        <f>IFERROR(__xludf.dummyfunction("""COMPUTED_VALUE"""),"YARA LORENA SILVA DO CARMO")</f>
        <v>YARA LORENA SILVA DO CARMO</v>
      </c>
      <c r="L329" s="146" t="str">
        <f>IFERROR(__xludf.dummyfunction("""COMPUTED_VALUE"""),"182.418.874-93")</f>
        <v>182.418.874-93</v>
      </c>
      <c r="M329" s="146" t="str">
        <f>IFERROR(__xludf.dummyfunction("""COMPUTED_VALUE"""),"05/06/2022")</f>
        <v>05/06/2022</v>
      </c>
      <c r="N329" s="3"/>
      <c r="O329" s="3" t="str">
        <f>IFERROR(__xludf.dummyfunction("""COMPUTED_VALUE"""),"0")</f>
        <v>0</v>
      </c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hidden="1" customHeight="1" spans="1:29">
      <c r="A330" s="3"/>
      <c r="B330" s="3" t="str">
        <f t="array" ref="B330">_xlfn.XLOOKUP(D330,Tabela_Dados_Esc_JAB_2026[INEP],Tabela_Dados_Esc_JAB_2026[REGIONAL],"NE",0)</f>
        <v>REGIONAL 7</v>
      </c>
      <c r="C330" s="4" t="str">
        <f>IFERROR(__xludf.dummyfunction("""COMPUTED_VALUE"""),"CRECHE MUNICIPAL PROFESSORA SILVIA CRISTINA SANTOS BOTELHO")</f>
        <v>CRECHE MUNICIPAL PROFESSORA SILVIA CRISTINA SANTOS BOTELHO</v>
      </c>
      <c r="D330" s="3" t="str">
        <f>IFERROR(__xludf.dummyfunction("""COMPUTED_VALUE"""),"26189070")</f>
        <v>26189070</v>
      </c>
      <c r="E330" s="3" t="str">
        <f>IFERROR(__xludf.dummyfunction("""COMPUTED_VALUE"""),"INFANTIL 1")</f>
        <v>INFANTIL 1</v>
      </c>
      <c r="F330" s="3" t="str">
        <f>IFERROR(__xludf.dummyfunction("""COMPUTED_VALUE"""),"Integral")</f>
        <v>Integral</v>
      </c>
      <c r="G330" s="3" t="str">
        <f>IFERROR(__xludf.dummyfunction("""COMPUTED_VALUE"""),"Comum")</f>
        <v>Comum</v>
      </c>
      <c r="H330" s="3" t="str">
        <f>IFERROR(__xludf.dummyfunction("""COMPUTED_VALUE"""),"1")</f>
        <v>1</v>
      </c>
      <c r="I330" s="147" t="str">
        <f>IFERROR(__xludf.dummyfunction("""COMPUTED_VALUE"""),"26022486223")</f>
        <v>26022486223</v>
      </c>
      <c r="J330" s="3" t="str">
        <f>IFERROR(__xludf.dummyfunction("""COMPUTED_VALUE"""),"05/02/2026 23:06:26")</f>
        <v>05/02/2026 23:06:26</v>
      </c>
      <c r="K330" s="3" t="str">
        <f>IFERROR(__xludf.dummyfunction("""COMPUTED_VALUE"""),"LIAN SAMUEL SANTOS")</f>
        <v>LIAN SAMUEL SANTOS</v>
      </c>
      <c r="L330" s="146" t="str">
        <f>IFERROR(__xludf.dummyfunction("""COMPUTED_VALUE"""),"017.661.634-91")</f>
        <v>017.661.634-91</v>
      </c>
      <c r="M330" s="146" t="str">
        <f>IFERROR(__xludf.dummyfunction("""COMPUTED_VALUE"""),"27/04/2025")</f>
        <v>27/04/2025</v>
      </c>
      <c r="N330" s="3"/>
      <c r="O330" s="3" t="str">
        <f>IFERROR(__xludf.dummyfunction("""COMPUTED_VALUE"""),"0")</f>
        <v>0</v>
      </c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hidden="1" customHeight="1" spans="1:29">
      <c r="A331" s="3"/>
      <c r="B331" s="3" t="str">
        <f t="array" ref="B331">_xlfn.XLOOKUP(D331,Tabela_Dados_Esc_JAB_2026[INEP],Tabela_Dados_Esc_JAB_2026[REGIONAL],"NE",0)</f>
        <v>REGIONAL 7</v>
      </c>
      <c r="C331" s="4" t="str">
        <f>IFERROR(__xludf.dummyfunction("""COMPUTED_VALUE"""),"CRECHE MUNICIPAL PROFESSORA SILVIA CRISTINA SANTOS BOTELHO")</f>
        <v>CRECHE MUNICIPAL PROFESSORA SILVIA CRISTINA SANTOS BOTELHO</v>
      </c>
      <c r="D331" s="3" t="str">
        <f>IFERROR(__xludf.dummyfunction("""COMPUTED_VALUE"""),"26189070")</f>
        <v>26189070</v>
      </c>
      <c r="E331" s="3" t="str">
        <f>IFERROR(__xludf.dummyfunction("""COMPUTED_VALUE"""),"INFANTIL 1")</f>
        <v>INFANTIL 1</v>
      </c>
      <c r="F331" s="3" t="str">
        <f>IFERROR(__xludf.dummyfunction("""COMPUTED_VALUE"""),"Integral")</f>
        <v>Integral</v>
      </c>
      <c r="G331" s="3" t="str">
        <f>IFERROR(__xludf.dummyfunction("""COMPUTED_VALUE"""),"Comum")</f>
        <v>Comum</v>
      </c>
      <c r="H331" s="3" t="str">
        <f>IFERROR(__xludf.dummyfunction("""COMPUTED_VALUE"""),"2")</f>
        <v>2</v>
      </c>
      <c r="I331" s="147" t="str">
        <f>IFERROR(__xludf.dummyfunction("""COMPUTED_VALUE"""),"26032050800")</f>
        <v>26032050800</v>
      </c>
      <c r="J331" s="3" t="str">
        <f>IFERROR(__xludf.dummyfunction("""COMPUTED_VALUE"""),"27/03/2026 15:45:11")</f>
        <v>27/03/2026 15:45:11</v>
      </c>
      <c r="K331" s="3" t="str">
        <f>IFERROR(__xludf.dummyfunction("""COMPUTED_VALUE"""),"ASAFE MIQUÉIAS DOS SANTOS VIEIRA")</f>
        <v>ASAFE MIQUÉIAS DOS SANTOS VIEIRA</v>
      </c>
      <c r="L331" s="146" t="str">
        <f>IFERROR(__xludf.dummyfunction("""COMPUTED_VALUE"""),"004.348.364-00")</f>
        <v>004.348.364-00</v>
      </c>
      <c r="M331" s="146" t="str">
        <f>IFERROR(__xludf.dummyfunction("""COMPUTED_VALUE"""),"12/10/2024")</f>
        <v>12/10/2024</v>
      </c>
      <c r="N331" s="3"/>
      <c r="O331" s="3" t="str">
        <f>IFERROR(__xludf.dummyfunction("""COMPUTED_VALUE"""),"0")</f>
        <v>0</v>
      </c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hidden="1" customHeight="1" spans="1:29">
      <c r="A332" s="3"/>
      <c r="B332" s="3" t="str">
        <f t="array" ref="B332">_xlfn.XLOOKUP(D332,Tabela_Dados_Esc_JAB_2026[INEP],Tabela_Dados_Esc_JAB_2026[REGIONAL],"NE",0)</f>
        <v>REGIONAL 7</v>
      </c>
      <c r="C332" s="4" t="str">
        <f>IFERROR(__xludf.dummyfunction("""COMPUTED_VALUE"""),"CRECHE MUNICIPAL PROFESSORA SILVIA CRISTINA SANTOS BOTELHO")</f>
        <v>CRECHE MUNICIPAL PROFESSORA SILVIA CRISTINA SANTOS BOTELHO</v>
      </c>
      <c r="D332" s="3" t="str">
        <f>IFERROR(__xludf.dummyfunction("""COMPUTED_VALUE"""),"26189070")</f>
        <v>26189070</v>
      </c>
      <c r="E332" s="3" t="str">
        <f>IFERROR(__xludf.dummyfunction("""COMPUTED_VALUE"""),"INFANTIL 1")</f>
        <v>INFANTIL 1</v>
      </c>
      <c r="F332" s="3" t="str">
        <f>IFERROR(__xludf.dummyfunction("""COMPUTED_VALUE"""),"Integral")</f>
        <v>Integral</v>
      </c>
      <c r="G332" s="3" t="str">
        <f>IFERROR(__xludf.dummyfunction("""COMPUTED_VALUE"""),"Comum")</f>
        <v>Comum</v>
      </c>
      <c r="H332" s="3" t="str">
        <f>IFERROR(__xludf.dummyfunction("""COMPUTED_VALUE"""),"3")</f>
        <v>3</v>
      </c>
      <c r="I332" s="145" t="str">
        <f>IFERROR(__xludf.dummyfunction("""COMPUTED_VALUE"""),"26042965061")</f>
        <v>26042965061</v>
      </c>
      <c r="J332" s="3" t="str">
        <f>IFERROR(__xludf.dummyfunction("""COMPUTED_VALUE"""),"15/04/2026 22:22:20")</f>
        <v>15/04/2026 22:22:20</v>
      </c>
      <c r="K332" s="3" t="str">
        <f>IFERROR(__xludf.dummyfunction("""COMPUTED_VALUE"""),"ISAAC ELVIS DA SILVA")</f>
        <v>ISAAC ELVIS DA SILVA</v>
      </c>
      <c r="L332" s="146" t="str">
        <f>IFERROR(__xludf.dummyfunction("""COMPUTED_VALUE"""),"004.669.314-92")</f>
        <v>004.669.314-92</v>
      </c>
      <c r="M332" s="146" t="str">
        <f>IFERROR(__xludf.dummyfunction("""COMPUTED_VALUE"""),"19/11/2024")</f>
        <v>19/11/2024</v>
      </c>
      <c r="N332" s="3"/>
      <c r="O332" s="3" t="str">
        <f>IFERROR(__xludf.dummyfunction("""COMPUTED_VALUE"""),"0")</f>
        <v>0</v>
      </c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hidden="1" customHeight="1" spans="1:29">
      <c r="A333" s="3"/>
      <c r="B333" s="3" t="str">
        <f t="array" ref="B333">_xlfn.XLOOKUP(D333,Tabela_Dados_Esc_JAB_2026[INEP],Tabela_Dados_Esc_JAB_2026[REGIONAL],"NE",0)</f>
        <v>REGIONAL 7</v>
      </c>
      <c r="C333" s="4" t="str">
        <f>IFERROR(__xludf.dummyfunction("""COMPUTED_VALUE"""),"CRECHE MUNICIPAL PROFESSORA SILVIA CRISTINA SANTOS BOTELHO")</f>
        <v>CRECHE MUNICIPAL PROFESSORA SILVIA CRISTINA SANTOS BOTELHO</v>
      </c>
      <c r="D333" s="3" t="str">
        <f>IFERROR(__xludf.dummyfunction("""COMPUTED_VALUE"""),"26189070")</f>
        <v>26189070</v>
      </c>
      <c r="E333" s="3" t="str">
        <f>IFERROR(__xludf.dummyfunction("""COMPUTED_VALUE"""),"INFANTIL 1")</f>
        <v>INFANTIL 1</v>
      </c>
      <c r="F333" s="3" t="str">
        <f>IFERROR(__xludf.dummyfunction("""COMPUTED_VALUE"""),"Integral")</f>
        <v>Integral</v>
      </c>
      <c r="G333" s="3" t="str">
        <f>IFERROR(__xludf.dummyfunction("""COMPUTED_VALUE"""),"Comum")</f>
        <v>Comum</v>
      </c>
      <c r="H333" s="3" t="str">
        <f>IFERROR(__xludf.dummyfunction("""COMPUTED_VALUE"""),"4")</f>
        <v>4</v>
      </c>
      <c r="I333" s="145" t="str">
        <f>IFERROR(__xludf.dummyfunction("""COMPUTED_VALUE"""),"26052030252")</f>
        <v>26052030252</v>
      </c>
      <c r="J333" s="3" t="str">
        <f>IFERROR(__xludf.dummyfunction("""COMPUTED_VALUE"""),"05/05/2026 10:48:19")</f>
        <v>05/05/2026 10:48:19</v>
      </c>
      <c r="K333" s="3" t="str">
        <f>IFERROR(__xludf.dummyfunction("""COMPUTED_VALUE"""),"DAVI NOGUEIRA")</f>
        <v>DAVI NOGUEIRA</v>
      </c>
      <c r="L333" s="146" t="str">
        <f>IFERROR(__xludf.dummyfunction("""COMPUTED_VALUE"""),"003.540.674-78")</f>
        <v>003.540.674-78</v>
      </c>
      <c r="M333" s="146" t="str">
        <f>IFERROR(__xludf.dummyfunction("""COMPUTED_VALUE"""),"19/06/2024")</f>
        <v>19/06/2024</v>
      </c>
      <c r="N333" s="3"/>
      <c r="O333" s="3" t="str">
        <f>IFERROR(__xludf.dummyfunction("""COMPUTED_VALUE"""),"0")</f>
        <v>0</v>
      </c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hidden="1" customHeight="1" spans="1:29">
      <c r="A334" s="3"/>
      <c r="B334" s="3" t="str">
        <f t="array" ref="B334">_xlfn.XLOOKUP(D334,Tabela_Dados_Esc_JAB_2026[INEP],Tabela_Dados_Esc_JAB_2026[REGIONAL],"NE",0)</f>
        <v>REGIONAL 7</v>
      </c>
      <c r="C334" s="4" t="str">
        <f>IFERROR(__xludf.dummyfunction("""COMPUTED_VALUE"""),"CRECHE MUNICIPAL PROFESSORA SILVIA CRISTINA SANTOS BOTELHO")</f>
        <v>CRECHE MUNICIPAL PROFESSORA SILVIA CRISTINA SANTOS BOTELHO</v>
      </c>
      <c r="D334" s="3" t="str">
        <f>IFERROR(__xludf.dummyfunction("""COMPUTED_VALUE"""),"26189070")</f>
        <v>26189070</v>
      </c>
      <c r="E334" s="3" t="str">
        <f>IFERROR(__xludf.dummyfunction("""COMPUTED_VALUE"""),"INFANTIL 1")</f>
        <v>INFANTIL 1</v>
      </c>
      <c r="F334" s="3" t="str">
        <f>IFERROR(__xludf.dummyfunction("""COMPUTED_VALUE"""),"Integral")</f>
        <v>Integral</v>
      </c>
      <c r="G334" s="3" t="str">
        <f>IFERROR(__xludf.dummyfunction("""COMPUTED_VALUE"""),"Comum")</f>
        <v>Comum</v>
      </c>
      <c r="H334" s="3" t="str">
        <f>IFERROR(__xludf.dummyfunction("""COMPUTED_VALUE"""),"5")</f>
        <v>5</v>
      </c>
      <c r="I334" s="145" t="str">
        <f>IFERROR(__xludf.dummyfunction("""COMPUTED_VALUE"""),"26052499840")</f>
        <v>26052499840</v>
      </c>
      <c r="J334" s="3" t="str">
        <f>IFERROR(__xludf.dummyfunction("""COMPUTED_VALUE"""),"25/05/2026 19:36:10")</f>
        <v>25/05/2026 19:36:10</v>
      </c>
      <c r="K334" s="3" t="str">
        <f>IFERROR(__xludf.dummyfunction("""COMPUTED_VALUE"""),"Ayla Sophia santos da silva")</f>
        <v>Ayla Sophia santos da silva</v>
      </c>
      <c r="L334" s="146" t="str">
        <f>IFERROR(__xludf.dummyfunction("""COMPUTED_VALUE"""),"005.022.224-41")</f>
        <v>005.022.224-41</v>
      </c>
      <c r="M334" s="146" t="str">
        <f>IFERROR(__xludf.dummyfunction("""COMPUTED_VALUE"""),"05/01/2025")</f>
        <v>05/01/2025</v>
      </c>
      <c r="N334" s="3"/>
      <c r="O334" s="3" t="str">
        <f>IFERROR(__xludf.dummyfunction("""COMPUTED_VALUE"""),"0")</f>
        <v>0</v>
      </c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hidden="1" customHeight="1" spans="1:29">
      <c r="A335" s="3"/>
      <c r="B335" s="3" t="str">
        <f t="array" ref="B335">_xlfn.XLOOKUP(D335,Tabela_Dados_Esc_JAB_2026[INEP],Tabela_Dados_Esc_JAB_2026[REGIONAL],"NE",0)</f>
        <v>REGIONAL 7</v>
      </c>
      <c r="C335" s="4" t="str">
        <f>IFERROR(__xludf.dummyfunction("""COMPUTED_VALUE"""),"CRECHE MUNICIPAL PROFESSORA SILVIA CRISTINA SANTOS BOTELHO")</f>
        <v>CRECHE MUNICIPAL PROFESSORA SILVIA CRISTINA SANTOS BOTELHO</v>
      </c>
      <c r="D335" s="3" t="str">
        <f>IFERROR(__xludf.dummyfunction("""COMPUTED_VALUE"""),"26189070")</f>
        <v>26189070</v>
      </c>
      <c r="E335" s="3" t="str">
        <f>IFERROR(__xludf.dummyfunction("""COMPUTED_VALUE"""),"INFANTIL 1")</f>
        <v>INFANTIL 1</v>
      </c>
      <c r="F335" s="3" t="str">
        <f>IFERROR(__xludf.dummyfunction("""COMPUTED_VALUE"""),"Integral")</f>
        <v>Integral</v>
      </c>
      <c r="G335" s="3" t="str">
        <f>IFERROR(__xludf.dummyfunction("""COMPUTED_VALUE"""),"Comum")</f>
        <v>Comum</v>
      </c>
      <c r="H335" s="3" t="str">
        <f>IFERROR(__xludf.dummyfunction("""COMPUTED_VALUE"""),"6")</f>
        <v>6</v>
      </c>
      <c r="I335" s="145" t="str">
        <f>IFERROR(__xludf.dummyfunction("""COMPUTED_VALUE"""),"26062625753")</f>
        <v>26062625753</v>
      </c>
      <c r="J335" s="3" t="str">
        <f>IFERROR(__xludf.dummyfunction("""COMPUTED_VALUE"""),"23/06/2026 14:42:25")</f>
        <v>23/06/2026 14:42:25</v>
      </c>
      <c r="K335" s="3" t="str">
        <f>IFERROR(__xludf.dummyfunction("""COMPUTED_VALUE"""),"Luíza vitória Sousa de Oliveira Luz")</f>
        <v>Luíza vitória Sousa de Oliveira Luz</v>
      </c>
      <c r="L335" s="146" t="str">
        <f>IFERROR(__xludf.dummyfunction("""COMPUTED_VALUE"""),"004.990.694-12")</f>
        <v>004.990.694-12</v>
      </c>
      <c r="M335" s="146" t="str">
        <f>IFERROR(__xludf.dummyfunction("""COMPUTED_VALUE"""),"27/12/2024")</f>
        <v>27/12/2024</v>
      </c>
      <c r="N335" s="3"/>
      <c r="O335" s="3" t="str">
        <f>IFERROR(__xludf.dummyfunction("""COMPUTED_VALUE"""),"0")</f>
        <v>0</v>
      </c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hidden="1" customHeight="1" spans="1:29">
      <c r="A336" s="3"/>
      <c r="B336" s="3" t="str">
        <f t="array" ref="B336">_xlfn.XLOOKUP(D336,Tabela_Dados_Esc_JAB_2026[INEP],Tabela_Dados_Esc_JAB_2026[REGIONAL],"NE",0)</f>
        <v>REGIONAL 7</v>
      </c>
      <c r="C336" s="4" t="str">
        <f>IFERROR(__xludf.dummyfunction("""COMPUTED_VALUE"""),"CRECHE MUNICIPAL PROFESSORA SILVIA CRISTINA SANTOS BOTELHO")</f>
        <v>CRECHE MUNICIPAL PROFESSORA SILVIA CRISTINA SANTOS BOTELHO</v>
      </c>
      <c r="D336" s="3" t="str">
        <f>IFERROR(__xludf.dummyfunction("""COMPUTED_VALUE"""),"26189070")</f>
        <v>26189070</v>
      </c>
      <c r="E336" s="3" t="str">
        <f>IFERROR(__xludf.dummyfunction("""COMPUTED_VALUE"""),"INFANTIL 1")</f>
        <v>INFANTIL 1</v>
      </c>
      <c r="F336" s="3" t="str">
        <f>IFERROR(__xludf.dummyfunction("""COMPUTED_VALUE"""),"Integral")</f>
        <v>Integral</v>
      </c>
      <c r="G336" s="3" t="str">
        <f>IFERROR(__xludf.dummyfunction("""COMPUTED_VALUE"""),"Comum")</f>
        <v>Comum</v>
      </c>
      <c r="H336" s="3" t="str">
        <f>IFERROR(__xludf.dummyfunction("""COMPUTED_VALUE"""),"7")</f>
        <v>7</v>
      </c>
      <c r="I336" s="145" t="str">
        <f>IFERROR(__xludf.dummyfunction("""COMPUTED_VALUE"""),"26062291641")</f>
        <v>26062291641</v>
      </c>
      <c r="J336" s="3" t="str">
        <f>IFERROR(__xludf.dummyfunction("""COMPUTED_VALUE"""),"27/06/2026 22:58:33")</f>
        <v>27/06/2026 22:58:33</v>
      </c>
      <c r="K336" s="3" t="str">
        <f>IFERROR(__xludf.dummyfunction("""COMPUTED_VALUE"""),"Endrew Gabriel Araújo Guedes")</f>
        <v>Endrew Gabriel Araújo Guedes</v>
      </c>
      <c r="L336" s="146" t="str">
        <f>IFERROR(__xludf.dummyfunction("""COMPUTED_VALUE"""),"003.461.974-73")</f>
        <v>003.461.974-73</v>
      </c>
      <c r="M336" s="146" t="str">
        <f>IFERROR(__xludf.dummyfunction("""COMPUTED_VALUE"""),"19/06/2024")</f>
        <v>19/06/2024</v>
      </c>
      <c r="N336" s="3"/>
      <c r="O336" s="3" t="str">
        <f>IFERROR(__xludf.dummyfunction("""COMPUTED_VALUE"""),"0")</f>
        <v>0</v>
      </c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hidden="1" customHeight="1" spans="1:29">
      <c r="A337" s="3"/>
      <c r="B337" s="3" t="str">
        <f t="array" ref="B337">_xlfn.XLOOKUP(D337,Tabela_Dados_Esc_JAB_2026[INEP],Tabela_Dados_Esc_JAB_2026[REGIONAL],"NE",0)</f>
        <v>REGIONAL 7</v>
      </c>
      <c r="C337" s="4" t="str">
        <f>IFERROR(__xludf.dummyfunction("""COMPUTED_VALUE"""),"CRECHE MUNICIPAL PROFESSORA SILVIA CRISTINA SANTOS BOTELHO")</f>
        <v>CRECHE MUNICIPAL PROFESSORA SILVIA CRISTINA SANTOS BOTELHO</v>
      </c>
      <c r="D337" s="3" t="str">
        <f>IFERROR(__xludf.dummyfunction("""COMPUTED_VALUE"""),"26189070")</f>
        <v>26189070</v>
      </c>
      <c r="E337" s="3" t="str">
        <f>IFERROR(__xludf.dummyfunction("""COMPUTED_VALUE"""),"INFANTIL 1")</f>
        <v>INFANTIL 1</v>
      </c>
      <c r="F337" s="3" t="str">
        <f>IFERROR(__xludf.dummyfunction("""COMPUTED_VALUE"""),"Integral")</f>
        <v>Integral</v>
      </c>
      <c r="G337" s="3" t="str">
        <f>IFERROR(__xludf.dummyfunction("""COMPUTED_VALUE"""),"Comum")</f>
        <v>Comum</v>
      </c>
      <c r="H337" s="3" t="str">
        <f>IFERROR(__xludf.dummyfunction("""COMPUTED_VALUE"""),"8")</f>
        <v>8</v>
      </c>
      <c r="I337" s="145" t="str">
        <f>IFERROR(__xludf.dummyfunction("""COMPUTED_VALUE"""),"26092106052")</f>
        <v>26092106052</v>
      </c>
      <c r="J337" s="3" t="str">
        <f>IFERROR(__xludf.dummyfunction("""COMPUTED_VALUE"""),"23/09/2026 13:18:48")</f>
        <v>23/09/2026 13:18:48</v>
      </c>
      <c r="K337" s="3" t="str">
        <f>IFERROR(__xludf.dummyfunction("""COMPUTED_VALUE"""),"Noah Matteo Albuquerque da Silva")</f>
        <v>Noah Matteo Albuquerque da Silva</v>
      </c>
      <c r="L337" s="146" t="str">
        <f>IFERROR(__xludf.dummyfunction("""COMPUTED_VALUE"""),"005.758.904-60")</f>
        <v>005.758.904-60</v>
      </c>
      <c r="M337" s="146" t="str">
        <f>IFERROR(__xludf.dummyfunction("""COMPUTED_VALUE"""),"16/02/2025")</f>
        <v>16/02/2025</v>
      </c>
      <c r="N337" s="3"/>
      <c r="O337" s="3" t="str">
        <f>IFERROR(__xludf.dummyfunction("""COMPUTED_VALUE"""),"0")</f>
        <v>0</v>
      </c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 spans="1:29">
      <c r="A338" s="3"/>
      <c r="B338" s="3" t="str">
        <f t="array" ref="B338">_xlfn.XLOOKUP(D338,Tabela_Dados_Esc_JAB_2026[INEP],Tabela_Dados_Esc_JAB_2026[REGIONAL],"NE",0)</f>
        <v>REGIONAL 2</v>
      </c>
      <c r="C338" s="4" t="str">
        <f>IFERROR(__xludf.dummyfunction("""COMPUTED_VALUE"""),"CRECHE PROFESSORA LEDA MARIA QUEIROZ DO REGO BARROS")</f>
        <v>CRECHE PROFESSORA LEDA MARIA QUEIROZ DO REGO BARROS</v>
      </c>
      <c r="D338" s="3" t="str">
        <f>IFERROR(__xludf.dummyfunction("""COMPUTED_VALUE"""),"26190168")</f>
        <v>26190168</v>
      </c>
      <c r="E338" s="3" t="str">
        <f>IFERROR(__xludf.dummyfunction("""COMPUTED_VALUE"""),"INFANTIL 1")</f>
        <v>INFANTIL 1</v>
      </c>
      <c r="F338" s="3" t="str">
        <f>IFERROR(__xludf.dummyfunction("""COMPUTED_VALUE"""),"Integral")</f>
        <v>Integral</v>
      </c>
      <c r="G338" s="3" t="str">
        <f>IFERROR(__xludf.dummyfunction("""COMPUTED_VALUE"""),"Comum")</f>
        <v>Comum</v>
      </c>
      <c r="H338" s="3" t="str">
        <f>IFERROR(__xludf.dummyfunction("""COMPUTED_VALUE"""),"1")</f>
        <v>1</v>
      </c>
      <c r="I338" s="145" t="str">
        <f>IFERROR(__xludf.dummyfunction("""COMPUTED_VALUE"""),"26022254695")</f>
        <v>26022254695</v>
      </c>
      <c r="J338" s="3" t="str">
        <f>IFERROR(__xludf.dummyfunction("""COMPUTED_VALUE"""),"26/02/2026 09:33:21")</f>
        <v>26/02/2026 09:33:21</v>
      </c>
      <c r="K338" s="3" t="str">
        <f>IFERROR(__xludf.dummyfunction("""COMPUTED_VALUE"""),"MELANIE LORENA SOARES DA SILVA")</f>
        <v>MELANIE LORENA SOARES DA SILVA</v>
      </c>
      <c r="L338" s="146" t="str">
        <f>IFERROR(__xludf.dummyfunction("""COMPUTED_VALUE"""),"003.731.354-16")</f>
        <v>003.731.354-16</v>
      </c>
      <c r="M338" s="146" t="str">
        <f>IFERROR(__xludf.dummyfunction("""COMPUTED_VALUE"""),"20/07/2024")</f>
        <v>20/07/2024</v>
      </c>
      <c r="N338" s="3"/>
      <c r="O338" s="3" t="str">
        <f>IFERROR(__xludf.dummyfunction("""COMPUTED_VALUE"""),"0")</f>
        <v>0</v>
      </c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 spans="1:29">
      <c r="A339" s="3"/>
      <c r="B339" s="3" t="str">
        <f t="array" ref="B339">_xlfn.XLOOKUP(D339,Tabela_Dados_Esc_JAB_2026[INEP],Tabela_Dados_Esc_JAB_2026[REGIONAL],"NE",0)</f>
        <v>REGIONAL 2</v>
      </c>
      <c r="C339" s="4" t="str">
        <f>IFERROR(__xludf.dummyfunction("""COMPUTED_VALUE"""),"CRECHE PROFESSORA LEDA MARIA QUEIROZ DO REGO BARROS")</f>
        <v>CRECHE PROFESSORA LEDA MARIA QUEIROZ DO REGO BARROS</v>
      </c>
      <c r="D339" s="3" t="str">
        <f>IFERROR(__xludf.dummyfunction("""COMPUTED_VALUE"""),"26190168")</f>
        <v>26190168</v>
      </c>
      <c r="E339" s="3" t="str">
        <f>IFERROR(__xludf.dummyfunction("""COMPUTED_VALUE"""),"INFANTIL 1")</f>
        <v>INFANTIL 1</v>
      </c>
      <c r="F339" s="3" t="str">
        <f>IFERROR(__xludf.dummyfunction("""COMPUTED_VALUE"""),"Integral")</f>
        <v>Integral</v>
      </c>
      <c r="G339" s="3" t="str">
        <f>IFERROR(__xludf.dummyfunction("""COMPUTED_VALUE"""),"Comum")</f>
        <v>Comum</v>
      </c>
      <c r="H339" s="3" t="str">
        <f>IFERROR(__xludf.dummyfunction("""COMPUTED_VALUE"""),"2")</f>
        <v>2</v>
      </c>
      <c r="I339" s="145" t="str">
        <f>IFERROR(__xludf.dummyfunction("""COMPUTED_VALUE"""),"26042151076")</f>
        <v>26042151076</v>
      </c>
      <c r="J339" s="3" t="str">
        <f>IFERROR(__xludf.dummyfunction("""COMPUTED_VALUE"""),"05/04/2026 16:11:06")</f>
        <v>05/04/2026 16:11:06</v>
      </c>
      <c r="K339" s="3" t="str">
        <f>IFERROR(__xludf.dummyfunction("""COMPUTED_VALUE"""),"THÉO NICOLAS FERREIRA GERMANO")</f>
        <v>THÉO NICOLAS FERREIRA GERMANO</v>
      </c>
      <c r="L339" s="146" t="str">
        <f>IFERROR(__xludf.dummyfunction("""COMPUTED_VALUE"""),"004.175.444-13")</f>
        <v>004.175.444-13</v>
      </c>
      <c r="M339" s="146" t="str">
        <f>IFERROR(__xludf.dummyfunction("""COMPUTED_VALUE"""),"27/09/2024")</f>
        <v>27/09/2024</v>
      </c>
      <c r="N339" s="3"/>
      <c r="O339" s="3" t="str">
        <f>IFERROR(__xludf.dummyfunction("""COMPUTED_VALUE"""),"0")</f>
        <v>0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 spans="1:29">
      <c r="A340" s="3"/>
      <c r="B340" s="3" t="str">
        <f t="array" ref="B340">_xlfn.XLOOKUP(D340,Tabela_Dados_Esc_JAB_2026[INEP],Tabela_Dados_Esc_JAB_2026[REGIONAL],"NE",0)</f>
        <v>REGIONAL 2</v>
      </c>
      <c r="C340" s="4" t="str">
        <f>IFERROR(__xludf.dummyfunction("""COMPUTED_VALUE"""),"CRECHE PROFESSORA LEDA MARIA QUEIROZ DO REGO BARROS")</f>
        <v>CRECHE PROFESSORA LEDA MARIA QUEIROZ DO REGO BARROS</v>
      </c>
      <c r="D340" s="3" t="str">
        <f>IFERROR(__xludf.dummyfunction("""COMPUTED_VALUE"""),"26190168")</f>
        <v>26190168</v>
      </c>
      <c r="E340" s="3" t="str">
        <f>IFERROR(__xludf.dummyfunction("""COMPUTED_VALUE"""),"INFANTIL 1")</f>
        <v>INFANTIL 1</v>
      </c>
      <c r="F340" s="3" t="str">
        <f>IFERROR(__xludf.dummyfunction("""COMPUTED_VALUE"""),"Integral")</f>
        <v>Integral</v>
      </c>
      <c r="G340" s="3" t="str">
        <f>IFERROR(__xludf.dummyfunction("""COMPUTED_VALUE"""),"Comum")</f>
        <v>Comum</v>
      </c>
      <c r="H340" s="3" t="str">
        <f>IFERROR(__xludf.dummyfunction("""COMPUTED_VALUE"""),"3")</f>
        <v>3</v>
      </c>
      <c r="I340" s="145" t="str">
        <f>IFERROR(__xludf.dummyfunction("""COMPUTED_VALUE"""),"26052865103")</f>
        <v>26052865103</v>
      </c>
      <c r="J340" s="3" t="str">
        <f>IFERROR(__xludf.dummyfunction("""COMPUTED_VALUE"""),"25/05/2026 11:20:13")</f>
        <v>25/05/2026 11:20:13</v>
      </c>
      <c r="K340" s="3" t="str">
        <f>IFERROR(__xludf.dummyfunction("""COMPUTED_VALUE"""),"Maria Clara Martins Da Silva")</f>
        <v>Maria Clara Martins Da Silva</v>
      </c>
      <c r="L340" s="146" t="str">
        <f>IFERROR(__xludf.dummyfunction("""COMPUTED_VALUE"""),"003.270.114-40")</f>
        <v>003.270.114-40</v>
      </c>
      <c r="M340" s="146" t="str">
        <f>IFERROR(__xludf.dummyfunction("""COMPUTED_VALUE"""),"22/04/2024")</f>
        <v>22/04/2024</v>
      </c>
      <c r="N340" s="3"/>
      <c r="O340" s="3" t="str">
        <f>IFERROR(__xludf.dummyfunction("""COMPUTED_VALUE"""),"0")</f>
        <v>0</v>
      </c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 spans="1:29">
      <c r="A341" s="3"/>
      <c r="B341" s="3" t="str">
        <f t="array" ref="B341">_xlfn.XLOOKUP(D341,Tabela_Dados_Esc_JAB_2026[INEP],Tabela_Dados_Esc_JAB_2026[REGIONAL],"NE",0)</f>
        <v>REGIONAL 2</v>
      </c>
      <c r="C341" s="4" t="str">
        <f>IFERROR(__xludf.dummyfunction("""COMPUTED_VALUE"""),"CRECHE PROFESSORA LEDA MARIA QUEIROZ DO REGO BARROS")</f>
        <v>CRECHE PROFESSORA LEDA MARIA QUEIROZ DO REGO BARROS</v>
      </c>
      <c r="D341" s="3" t="str">
        <f>IFERROR(__xludf.dummyfunction("""COMPUTED_VALUE"""),"26190168")</f>
        <v>26190168</v>
      </c>
      <c r="E341" s="3" t="str">
        <f>IFERROR(__xludf.dummyfunction("""COMPUTED_VALUE"""),"INFANTIL 1")</f>
        <v>INFANTIL 1</v>
      </c>
      <c r="F341" s="3" t="str">
        <f>IFERROR(__xludf.dummyfunction("""COMPUTED_VALUE"""),"Integral")</f>
        <v>Integral</v>
      </c>
      <c r="G341" s="3" t="str">
        <f>IFERROR(__xludf.dummyfunction("""COMPUTED_VALUE"""),"Comum")</f>
        <v>Comum</v>
      </c>
      <c r="H341" s="3" t="str">
        <f>IFERROR(__xludf.dummyfunction("""COMPUTED_VALUE"""),"4")</f>
        <v>4</v>
      </c>
      <c r="I341" s="147" t="str">
        <f>IFERROR(__xludf.dummyfunction("""COMPUTED_VALUE"""),"26062003445")</f>
        <v>26062003445</v>
      </c>
      <c r="J341" s="3" t="str">
        <f>IFERROR(__xludf.dummyfunction("""COMPUTED_VALUE"""),"01/06/2026 12:02:51")</f>
        <v>01/06/2026 12:02:51</v>
      </c>
      <c r="K341" s="3" t="str">
        <f>IFERROR(__xludf.dummyfunction("""COMPUTED_VALUE"""),"Rannah Valentina Vieira Muniz da Silva")</f>
        <v>Rannah Valentina Vieira Muniz da Silva</v>
      </c>
      <c r="L341" s="146" t="str">
        <f>IFERROR(__xludf.dummyfunction("""COMPUTED_VALUE"""),"005.668.444-43")</f>
        <v>005.668.444-43</v>
      </c>
      <c r="M341" s="146" t="str">
        <f>IFERROR(__xludf.dummyfunction("""COMPUTED_VALUE"""),"18/03/2025")</f>
        <v>18/03/2025</v>
      </c>
      <c r="N341" s="3"/>
      <c r="O341" s="3" t="str">
        <f>IFERROR(__xludf.dummyfunction("""COMPUTED_VALUE"""),"0")</f>
        <v>0</v>
      </c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 spans="1:29">
      <c r="A342" s="3"/>
      <c r="B342" s="3" t="str">
        <f t="array" ref="B342">_xlfn.XLOOKUP(D342,Tabela_Dados_Esc_JAB_2026[INEP],Tabela_Dados_Esc_JAB_2026[REGIONAL],"NE",0)</f>
        <v>REGIONAL 2</v>
      </c>
      <c r="C342" s="4" t="str">
        <f>IFERROR(__xludf.dummyfunction("""COMPUTED_VALUE"""),"CRECHE PROFESSORA LEDA MARIA QUEIROZ DO REGO BARROS")</f>
        <v>CRECHE PROFESSORA LEDA MARIA QUEIROZ DO REGO BARROS</v>
      </c>
      <c r="D342" s="3" t="str">
        <f>IFERROR(__xludf.dummyfunction("""COMPUTED_VALUE"""),"26190168")</f>
        <v>26190168</v>
      </c>
      <c r="E342" s="3" t="str">
        <f>IFERROR(__xludf.dummyfunction("""COMPUTED_VALUE"""),"INFANTIL 1")</f>
        <v>INFANTIL 1</v>
      </c>
      <c r="F342" s="3" t="str">
        <f>IFERROR(__xludf.dummyfunction("""COMPUTED_VALUE"""),"Integral")</f>
        <v>Integral</v>
      </c>
      <c r="G342" s="3" t="str">
        <f>IFERROR(__xludf.dummyfunction("""COMPUTED_VALUE"""),"Comum")</f>
        <v>Comum</v>
      </c>
      <c r="H342" s="3" t="str">
        <f>IFERROR(__xludf.dummyfunction("""COMPUTED_VALUE"""),"5")</f>
        <v>5</v>
      </c>
      <c r="I342" s="147" t="str">
        <f>IFERROR(__xludf.dummyfunction("""COMPUTED_VALUE"""),"26072371349")</f>
        <v>26072371349</v>
      </c>
      <c r="J342" s="3" t="str">
        <f>IFERROR(__xludf.dummyfunction("""COMPUTED_VALUE"""),"01/07/2026 10:11:32")</f>
        <v>01/07/2026 10:11:32</v>
      </c>
      <c r="K342" s="3" t="str">
        <f>IFERROR(__xludf.dummyfunction("""COMPUTED_VALUE"""),"Maria Antônia Alves Santana")</f>
        <v>Maria Antônia Alves Santana</v>
      </c>
      <c r="L342" s="146" t="str">
        <f>IFERROR(__xludf.dummyfunction("""COMPUTED_VALUE"""),"046.418.684-68")</f>
        <v>046.418.684-68</v>
      </c>
      <c r="M342" s="146" t="str">
        <f>IFERROR(__xludf.dummyfunction("""COMPUTED_VALUE"""),"06/01/2026")</f>
        <v>06/01/2026</v>
      </c>
      <c r="N342" s="3"/>
      <c r="O342" s="3" t="str">
        <f>IFERROR(__xludf.dummyfunction("""COMPUTED_VALUE"""),"0")</f>
        <v>0</v>
      </c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 spans="1:29">
      <c r="A343" s="3"/>
      <c r="B343" s="3" t="str">
        <f t="array" ref="B343">_xlfn.XLOOKUP(D343,Tabela_Dados_Esc_JAB_2026[INEP],Tabela_Dados_Esc_JAB_2026[REGIONAL],"NE",0)</f>
        <v>REGIONAL 2</v>
      </c>
      <c r="C343" s="4" t="str">
        <f>IFERROR(__xludf.dummyfunction("""COMPUTED_VALUE"""),"CRECHE PROFESSORA LEDA MARIA QUEIROZ DO REGO BARROS")</f>
        <v>CRECHE PROFESSORA LEDA MARIA QUEIROZ DO REGO BARROS</v>
      </c>
      <c r="D343" s="3" t="str">
        <f>IFERROR(__xludf.dummyfunction("""COMPUTED_VALUE"""),"26190168")</f>
        <v>26190168</v>
      </c>
      <c r="E343" s="3" t="str">
        <f>IFERROR(__xludf.dummyfunction("""COMPUTED_VALUE"""),"INFANTIL 1")</f>
        <v>INFANTIL 1</v>
      </c>
      <c r="F343" s="3" t="str">
        <f>IFERROR(__xludf.dummyfunction("""COMPUTED_VALUE"""),"Integral")</f>
        <v>Integral</v>
      </c>
      <c r="G343" s="3" t="str">
        <f>IFERROR(__xludf.dummyfunction("""COMPUTED_VALUE"""),"Comum")</f>
        <v>Comum</v>
      </c>
      <c r="H343" s="3" t="str">
        <f>IFERROR(__xludf.dummyfunction("""COMPUTED_VALUE"""),"6")</f>
        <v>6</v>
      </c>
      <c r="I343" s="147" t="str">
        <f>IFERROR(__xludf.dummyfunction("""COMPUTED_VALUE"""),"26072759408")</f>
        <v>26072759408</v>
      </c>
      <c r="J343" s="3" t="str">
        <f>IFERROR(__xludf.dummyfunction("""COMPUTED_VALUE"""),"02/07/2026 10:44:55")</f>
        <v>02/07/2026 10:44:55</v>
      </c>
      <c r="K343" s="3" t="str">
        <f>IFERROR(__xludf.dummyfunction("""COMPUTED_VALUE"""),"Sarah cellynne vitória da Silva lins")</f>
        <v>Sarah cellynne vitória da Silva lins</v>
      </c>
      <c r="L343" s="146" t="str">
        <f>IFERROR(__xludf.dummyfunction("""COMPUTED_VALUE"""),"004.535.784-62")</f>
        <v>004.535.784-62</v>
      </c>
      <c r="M343" s="146" t="str">
        <f>IFERROR(__xludf.dummyfunction("""COMPUTED_VALUE"""),"20/09/2024")</f>
        <v>20/09/2024</v>
      </c>
      <c r="N343" s="3"/>
      <c r="O343" s="3" t="str">
        <f>IFERROR(__xludf.dummyfunction("""COMPUTED_VALUE"""),"0")</f>
        <v>0</v>
      </c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 spans="1:29">
      <c r="A344" s="3"/>
      <c r="B344" s="3" t="str">
        <f t="array" ref="B344">_xlfn.XLOOKUP(D344,Tabela_Dados_Esc_JAB_2026[INEP],Tabela_Dados_Esc_JAB_2026[REGIONAL],"NE",0)</f>
        <v>REGIONAL 2</v>
      </c>
      <c r="C344" s="4" t="str">
        <f>IFERROR(__xludf.dummyfunction("""COMPUTED_VALUE"""),"CRECHE PROFESSORA LEDA MARIA QUEIROZ DO REGO BARROS")</f>
        <v>CRECHE PROFESSORA LEDA MARIA QUEIROZ DO REGO BARROS</v>
      </c>
      <c r="D344" s="3" t="str">
        <f>IFERROR(__xludf.dummyfunction("""COMPUTED_VALUE"""),"26190168")</f>
        <v>26190168</v>
      </c>
      <c r="E344" s="3" t="str">
        <f>IFERROR(__xludf.dummyfunction("""COMPUTED_VALUE"""),"INFANTIL 1")</f>
        <v>INFANTIL 1</v>
      </c>
      <c r="F344" s="3" t="str">
        <f>IFERROR(__xludf.dummyfunction("""COMPUTED_VALUE"""),"Integral")</f>
        <v>Integral</v>
      </c>
      <c r="G344" s="3" t="str">
        <f>IFERROR(__xludf.dummyfunction("""COMPUTED_VALUE"""),"Comum")</f>
        <v>Comum</v>
      </c>
      <c r="H344" s="3" t="str">
        <f>IFERROR(__xludf.dummyfunction("""COMPUTED_VALUE"""),"7")</f>
        <v>7</v>
      </c>
      <c r="I344" s="147" t="str">
        <f>IFERROR(__xludf.dummyfunction("""COMPUTED_VALUE"""),"26072110358")</f>
        <v>26072110358</v>
      </c>
      <c r="J344" s="3" t="str">
        <f>IFERROR(__xludf.dummyfunction("""COMPUTED_VALUE"""),"16/07/2026 01:57:54")</f>
        <v>16/07/2026 01:57:54</v>
      </c>
      <c r="K344" s="3" t="str">
        <f>IFERROR(__xludf.dummyfunction("""COMPUTED_VALUE"""),"Maria Helena Oliveira de Lima")</f>
        <v>Maria Helena Oliveira de Lima</v>
      </c>
      <c r="L344" s="146" t="str">
        <f>IFERROR(__xludf.dummyfunction("""COMPUTED_VALUE"""),"007.236.214-62")</f>
        <v>007.236.214-62</v>
      </c>
      <c r="M344" s="146" t="str">
        <f>IFERROR(__xludf.dummyfunction("""COMPUTED_VALUE"""),"27/08/2025")</f>
        <v>27/08/2025</v>
      </c>
      <c r="N344" s="3"/>
      <c r="O344" s="3" t="str">
        <f>IFERROR(__xludf.dummyfunction("""COMPUTED_VALUE"""),"0")</f>
        <v>0</v>
      </c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 spans="1:29">
      <c r="A345" s="3"/>
      <c r="B345" s="3" t="str">
        <f t="array" ref="B345">_xlfn.XLOOKUP(D345,Tabela_Dados_Esc_JAB_2026[INEP],Tabela_Dados_Esc_JAB_2026[REGIONAL],"NE",0)</f>
        <v>REGIONAL 2</v>
      </c>
      <c r="C345" s="4" t="str">
        <f>IFERROR(__xludf.dummyfunction("""COMPUTED_VALUE"""),"CRECHE PROFESSORA LEDA MARIA QUEIROZ DO REGO BARROS")</f>
        <v>CRECHE PROFESSORA LEDA MARIA QUEIROZ DO REGO BARROS</v>
      </c>
      <c r="D345" s="3" t="str">
        <f>IFERROR(__xludf.dummyfunction("""COMPUTED_VALUE"""),"26190168")</f>
        <v>26190168</v>
      </c>
      <c r="E345" s="3" t="str">
        <f>IFERROR(__xludf.dummyfunction("""COMPUTED_VALUE"""),"INFANTIL 1")</f>
        <v>INFANTIL 1</v>
      </c>
      <c r="F345" s="3" t="str">
        <f>IFERROR(__xludf.dummyfunction("""COMPUTED_VALUE"""),"Integral")</f>
        <v>Integral</v>
      </c>
      <c r="G345" s="3" t="str">
        <f>IFERROR(__xludf.dummyfunction("""COMPUTED_VALUE"""),"Comum")</f>
        <v>Comum</v>
      </c>
      <c r="H345" s="3" t="str">
        <f>IFERROR(__xludf.dummyfunction("""COMPUTED_VALUE"""),"8")</f>
        <v>8</v>
      </c>
      <c r="I345" s="147" t="str">
        <f>IFERROR(__xludf.dummyfunction("""COMPUTED_VALUE"""),"26072373280")</f>
        <v>26072373280</v>
      </c>
      <c r="J345" s="3" t="str">
        <f>IFERROR(__xludf.dummyfunction("""COMPUTED_VALUE"""),"23/07/2026 18:19:52")</f>
        <v>23/07/2026 18:19:52</v>
      </c>
      <c r="K345" s="3" t="str">
        <f>IFERROR(__xludf.dummyfunction("""COMPUTED_VALUE"""),"Gael Eduardo Jesus da Cunha")</f>
        <v>Gael Eduardo Jesus da Cunha</v>
      </c>
      <c r="L345" s="146" t="str">
        <f>IFERROR(__xludf.dummyfunction("""COMPUTED_VALUE"""),"005.889.824-74")</f>
        <v>005.889.824-74</v>
      </c>
      <c r="M345" s="146" t="str">
        <f>IFERROR(__xludf.dummyfunction("""COMPUTED_VALUE"""),"07/04/2025")</f>
        <v>07/04/2025</v>
      </c>
      <c r="N345" s="3"/>
      <c r="O345" s="3" t="str">
        <f>IFERROR(__xludf.dummyfunction("""COMPUTED_VALUE"""),"0")</f>
        <v>0</v>
      </c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 spans="1:29">
      <c r="A346" s="3"/>
      <c r="B346" s="3" t="str">
        <f t="array" ref="B346">_xlfn.XLOOKUP(D346,Tabela_Dados_Esc_JAB_2026[INEP],Tabela_Dados_Esc_JAB_2026[REGIONAL],"NE",0)</f>
        <v>REGIONAL 2</v>
      </c>
      <c r="C346" s="4" t="str">
        <f>IFERROR(__xludf.dummyfunction("""COMPUTED_VALUE"""),"CRECHE PROFESSORA LEDA MARIA QUEIROZ DO REGO BARROS")</f>
        <v>CRECHE PROFESSORA LEDA MARIA QUEIROZ DO REGO BARROS</v>
      </c>
      <c r="D346" s="3" t="str">
        <f>IFERROR(__xludf.dummyfunction("""COMPUTED_VALUE"""),"26190168")</f>
        <v>26190168</v>
      </c>
      <c r="E346" s="3" t="str">
        <f>IFERROR(__xludf.dummyfunction("""COMPUTED_VALUE"""),"INFANTIL 1")</f>
        <v>INFANTIL 1</v>
      </c>
      <c r="F346" s="3" t="str">
        <f>IFERROR(__xludf.dummyfunction("""COMPUTED_VALUE"""),"Integral")</f>
        <v>Integral</v>
      </c>
      <c r="G346" s="3" t="str">
        <f>IFERROR(__xludf.dummyfunction("""COMPUTED_VALUE"""),"Comum")</f>
        <v>Comum</v>
      </c>
      <c r="H346" s="3" t="str">
        <f>IFERROR(__xludf.dummyfunction("""COMPUTED_VALUE"""),"9")</f>
        <v>9</v>
      </c>
      <c r="I346" s="147" t="str">
        <f>IFERROR(__xludf.dummyfunction("""COMPUTED_VALUE"""),"26092656895")</f>
        <v>26092656895</v>
      </c>
      <c r="J346" s="3" t="str">
        <f>IFERROR(__xludf.dummyfunction("""COMPUTED_VALUE"""),"21/09/2026 09:50:34")</f>
        <v>21/09/2026 09:50:34</v>
      </c>
      <c r="K346" s="3" t="str">
        <f>IFERROR(__xludf.dummyfunction("""COMPUTED_VALUE"""),"Rhavy Henrique Fradique santos de Souza")</f>
        <v>Rhavy Henrique Fradique santos de Souza</v>
      </c>
      <c r="L346" s="146" t="str">
        <f>IFERROR(__xludf.dummyfunction("""COMPUTED_VALUE"""),"005.683.954-50")</f>
        <v>005.683.954-50</v>
      </c>
      <c r="M346" s="146" t="str">
        <f>IFERROR(__xludf.dummyfunction("""COMPUTED_VALUE"""),"16/03/2025")</f>
        <v>16/03/2025</v>
      </c>
      <c r="N346" s="3"/>
      <c r="O346" s="3" t="str">
        <f>IFERROR(__xludf.dummyfunction("""COMPUTED_VALUE"""),"0")</f>
        <v>0</v>
      </c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 spans="1:29">
      <c r="A347" s="3"/>
      <c r="B347" s="3" t="str">
        <f t="array" ref="B347">_xlfn.XLOOKUP(D347,Tabela_Dados_Esc_JAB_2026[INEP],Tabela_Dados_Esc_JAB_2026[REGIONAL],"NE",0)</f>
        <v>REGIONAL 2</v>
      </c>
      <c r="C347" s="4" t="str">
        <f>IFERROR(__xludf.dummyfunction("""COMPUTED_VALUE"""),"CRECHE PROFESSORA LEDA MARIA QUEIROZ DO REGO BARROS")</f>
        <v>CRECHE PROFESSORA LEDA MARIA QUEIROZ DO REGO BARROS</v>
      </c>
      <c r="D347" s="3" t="str">
        <f>IFERROR(__xludf.dummyfunction("""COMPUTED_VALUE"""),"26190168")</f>
        <v>26190168</v>
      </c>
      <c r="E347" s="3" t="str">
        <f>IFERROR(__xludf.dummyfunction("""COMPUTED_VALUE"""),"INFANTIL 2")</f>
        <v>INFANTIL 2</v>
      </c>
      <c r="F347" s="3" t="str">
        <f>IFERROR(__xludf.dummyfunction("""COMPUTED_VALUE"""),"Integral")</f>
        <v>Integral</v>
      </c>
      <c r="G347" s="3" t="str">
        <f>IFERROR(__xludf.dummyfunction("""COMPUTED_VALUE"""),"Comum")</f>
        <v>Comum</v>
      </c>
      <c r="H347" s="3" t="str">
        <f>IFERROR(__xludf.dummyfunction("""COMPUTED_VALUE"""),"1")</f>
        <v>1</v>
      </c>
      <c r="I347" s="147" t="str">
        <f>IFERROR(__xludf.dummyfunction("""COMPUTED_VALUE"""),"26022307802")</f>
        <v>26022307802</v>
      </c>
      <c r="J347" s="3" t="str">
        <f>IFERROR(__xludf.dummyfunction("""COMPUTED_VALUE"""),"02/02/2026 18:41:44")</f>
        <v>02/02/2026 18:41:44</v>
      </c>
      <c r="K347" s="3" t="str">
        <f>IFERROR(__xludf.dummyfunction("""COMPUTED_VALUE"""),"YAN KLEYSLER DE SOUZA PORTO")</f>
        <v>YAN KLEYSLER DE SOUZA PORTO</v>
      </c>
      <c r="L347" s="146" t="str">
        <f>IFERROR(__xludf.dummyfunction("""COMPUTED_VALUE"""),"185.920.164-44")</f>
        <v>185.920.164-44</v>
      </c>
      <c r="M347" s="146" t="str">
        <f>IFERROR(__xludf.dummyfunction("""COMPUTED_VALUE"""),"24/06/2023")</f>
        <v>24/06/2023</v>
      </c>
      <c r="N347" s="3"/>
      <c r="O347" s="3" t="str">
        <f>IFERROR(__xludf.dummyfunction("""COMPUTED_VALUE"""),"0")</f>
        <v>0</v>
      </c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 spans="1:29">
      <c r="A348" s="3"/>
      <c r="B348" s="3" t="str">
        <f t="array" ref="B348">_xlfn.XLOOKUP(D348,Tabela_Dados_Esc_JAB_2026[INEP],Tabela_Dados_Esc_JAB_2026[REGIONAL],"NE",0)</f>
        <v>REGIONAL 2</v>
      </c>
      <c r="C348" s="4" t="str">
        <f>IFERROR(__xludf.dummyfunction("""COMPUTED_VALUE"""),"CRECHE PROFESSORA LEDA MARIA QUEIROZ DO REGO BARROS")</f>
        <v>CRECHE PROFESSORA LEDA MARIA QUEIROZ DO REGO BARROS</v>
      </c>
      <c r="D348" s="3" t="str">
        <f>IFERROR(__xludf.dummyfunction("""COMPUTED_VALUE"""),"26190168")</f>
        <v>26190168</v>
      </c>
      <c r="E348" s="3" t="str">
        <f>IFERROR(__xludf.dummyfunction("""COMPUTED_VALUE"""),"INFANTIL 2")</f>
        <v>INFANTIL 2</v>
      </c>
      <c r="F348" s="3" t="str">
        <f>IFERROR(__xludf.dummyfunction("""COMPUTED_VALUE"""),"Integral")</f>
        <v>Integral</v>
      </c>
      <c r="G348" s="3" t="str">
        <f>IFERROR(__xludf.dummyfunction("""COMPUTED_VALUE"""),"Comum")</f>
        <v>Comum</v>
      </c>
      <c r="H348" s="3" t="str">
        <f>IFERROR(__xludf.dummyfunction("""COMPUTED_VALUE"""),"2")</f>
        <v>2</v>
      </c>
      <c r="I348" s="147" t="str">
        <f>IFERROR(__xludf.dummyfunction("""COMPUTED_VALUE"""),"26022670060")</f>
        <v>26022670060</v>
      </c>
      <c r="J348" s="3" t="str">
        <f>IFERROR(__xludf.dummyfunction("""COMPUTED_VALUE"""),"09/02/2026 08:20:49")</f>
        <v>09/02/2026 08:20:49</v>
      </c>
      <c r="K348" s="3" t="str">
        <f>IFERROR(__xludf.dummyfunction("""COMPUTED_VALUE"""),"THEODORO RODRIGUES DE SOUZA")</f>
        <v>THEODORO RODRIGUES DE SOUZA</v>
      </c>
      <c r="L348" s="146" t="str">
        <f>IFERROR(__xludf.dummyfunction("""COMPUTED_VALUE"""),"002.234.014-98")</f>
        <v>002.234.014-98</v>
      </c>
      <c r="M348" s="146" t="str">
        <f>IFERROR(__xludf.dummyfunction("""COMPUTED_VALUE"""),"10/03/2024")</f>
        <v>10/03/2024</v>
      </c>
      <c r="N348" s="3"/>
      <c r="O348" s="3" t="str">
        <f>IFERROR(__xludf.dummyfunction("""COMPUTED_VALUE"""),"0")</f>
        <v>0</v>
      </c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 spans="1:29">
      <c r="A349" s="3"/>
      <c r="B349" s="3" t="str">
        <f t="array" ref="B349">_xlfn.XLOOKUP(D349,Tabela_Dados_Esc_JAB_2026[INEP],Tabela_Dados_Esc_JAB_2026[REGIONAL],"NE",0)</f>
        <v>REGIONAL 2</v>
      </c>
      <c r="C349" s="4" t="str">
        <f>IFERROR(__xludf.dummyfunction("""COMPUTED_VALUE"""),"CRECHE PROFESSORA LEDA MARIA QUEIROZ DO REGO BARROS")</f>
        <v>CRECHE PROFESSORA LEDA MARIA QUEIROZ DO REGO BARROS</v>
      </c>
      <c r="D349" s="3" t="str">
        <f>IFERROR(__xludf.dummyfunction("""COMPUTED_VALUE"""),"26190168")</f>
        <v>26190168</v>
      </c>
      <c r="E349" s="3" t="str">
        <f>IFERROR(__xludf.dummyfunction("""COMPUTED_VALUE"""),"INFANTIL 2")</f>
        <v>INFANTIL 2</v>
      </c>
      <c r="F349" s="3" t="str">
        <f>IFERROR(__xludf.dummyfunction("""COMPUTED_VALUE"""),"Integral")</f>
        <v>Integral</v>
      </c>
      <c r="G349" s="3" t="str">
        <f>IFERROR(__xludf.dummyfunction("""COMPUTED_VALUE"""),"Comum")</f>
        <v>Comum</v>
      </c>
      <c r="H349" s="3" t="str">
        <f>IFERROR(__xludf.dummyfunction("""COMPUTED_VALUE"""),"3")</f>
        <v>3</v>
      </c>
      <c r="I349" s="147" t="str">
        <f>IFERROR(__xludf.dummyfunction("""COMPUTED_VALUE"""),"26032703170")</f>
        <v>26032703170</v>
      </c>
      <c r="J349" s="3" t="str">
        <f>IFERROR(__xludf.dummyfunction("""COMPUTED_VALUE"""),"09/03/2026 10:20:55")</f>
        <v>09/03/2026 10:20:55</v>
      </c>
      <c r="K349" s="3" t="str">
        <f>IFERROR(__xludf.dummyfunction("""COMPUTED_VALUE"""),"SARAH JAAZIELY DA SILVA ALMEIDA")</f>
        <v>SARAH JAAZIELY DA SILVA ALMEIDA</v>
      </c>
      <c r="L349" s="146" t="str">
        <f>IFERROR(__xludf.dummyfunction("""COMPUTED_VALUE"""),"185.906.584-81")</f>
        <v>185.906.584-81</v>
      </c>
      <c r="M349" s="146" t="str">
        <f>IFERROR(__xludf.dummyfunction("""COMPUTED_VALUE"""),"19/06/2023")</f>
        <v>19/06/2023</v>
      </c>
      <c r="N349" s="3"/>
      <c r="O349" s="3" t="str">
        <f>IFERROR(__xludf.dummyfunction("""COMPUTED_VALUE"""),"0")</f>
        <v>0</v>
      </c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 spans="1:29">
      <c r="A350" s="3"/>
      <c r="B350" s="3" t="str">
        <f t="array" ref="B350">_xlfn.XLOOKUP(D350,Tabela_Dados_Esc_JAB_2026[INEP],Tabela_Dados_Esc_JAB_2026[REGIONAL],"NE",0)</f>
        <v>REGIONAL 2</v>
      </c>
      <c r="C350" s="4" t="str">
        <f>IFERROR(__xludf.dummyfunction("""COMPUTED_VALUE"""),"CRECHE PROFESSORA LEDA MARIA QUEIROZ DO REGO BARROS")</f>
        <v>CRECHE PROFESSORA LEDA MARIA QUEIROZ DO REGO BARROS</v>
      </c>
      <c r="D350" s="3" t="str">
        <f>IFERROR(__xludf.dummyfunction("""COMPUTED_VALUE"""),"26190168")</f>
        <v>26190168</v>
      </c>
      <c r="E350" s="3" t="str">
        <f>IFERROR(__xludf.dummyfunction("""COMPUTED_VALUE"""),"INFANTIL 2")</f>
        <v>INFANTIL 2</v>
      </c>
      <c r="F350" s="3" t="str">
        <f>IFERROR(__xludf.dummyfunction("""COMPUTED_VALUE"""),"Integral")</f>
        <v>Integral</v>
      </c>
      <c r="G350" s="3" t="str">
        <f>IFERROR(__xludf.dummyfunction("""COMPUTED_VALUE"""),"Comum")</f>
        <v>Comum</v>
      </c>
      <c r="H350" s="3" t="str">
        <f>IFERROR(__xludf.dummyfunction("""COMPUTED_VALUE"""),"4")</f>
        <v>4</v>
      </c>
      <c r="I350" s="147" t="str">
        <f>IFERROR(__xludf.dummyfunction("""COMPUTED_VALUE"""),"26042780193")</f>
        <v>26042780193</v>
      </c>
      <c r="J350" s="3" t="str">
        <f>IFERROR(__xludf.dummyfunction("""COMPUTED_VALUE"""),"10/04/2026 02:09:34")</f>
        <v>10/04/2026 02:09:34</v>
      </c>
      <c r="K350" s="3" t="str">
        <f>IFERROR(__xludf.dummyfunction("""COMPUTED_VALUE"""),"SAMUEL RICARDO SANTOS DO NASCIMENTO")</f>
        <v>SAMUEL RICARDO SANTOS DO NASCIMENTO</v>
      </c>
      <c r="L350" s="146" t="str">
        <f>IFERROR(__xludf.dummyfunction("""COMPUTED_VALUE"""),"186.203.434-67")</f>
        <v>186.203.434-67</v>
      </c>
      <c r="M350" s="146" t="str">
        <f>IFERROR(__xludf.dummyfunction("""COMPUTED_VALUE"""),"10/08/2023")</f>
        <v>10/08/2023</v>
      </c>
      <c r="N350" s="3"/>
      <c r="O350" s="3" t="str">
        <f>IFERROR(__xludf.dummyfunction("""COMPUTED_VALUE"""),"0")</f>
        <v>0</v>
      </c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 spans="1:29">
      <c r="A351" s="3"/>
      <c r="B351" s="3" t="str">
        <f t="array" ref="B351">_xlfn.XLOOKUP(D351,Tabela_Dados_Esc_JAB_2026[INEP],Tabela_Dados_Esc_JAB_2026[REGIONAL],"NE",0)</f>
        <v>REGIONAL 2</v>
      </c>
      <c r="C351" s="4" t="str">
        <f>IFERROR(__xludf.dummyfunction("""COMPUTED_VALUE"""),"CRECHE PROFESSORA LEDA MARIA QUEIROZ DO REGO BARROS")</f>
        <v>CRECHE PROFESSORA LEDA MARIA QUEIROZ DO REGO BARROS</v>
      </c>
      <c r="D351" s="3" t="str">
        <f>IFERROR(__xludf.dummyfunction("""COMPUTED_VALUE"""),"26190168")</f>
        <v>26190168</v>
      </c>
      <c r="E351" s="3" t="str">
        <f>IFERROR(__xludf.dummyfunction("""COMPUTED_VALUE"""),"INFANTIL 2")</f>
        <v>INFANTIL 2</v>
      </c>
      <c r="F351" s="3" t="str">
        <f>IFERROR(__xludf.dummyfunction("""COMPUTED_VALUE"""),"Integral")</f>
        <v>Integral</v>
      </c>
      <c r="G351" s="3" t="str">
        <f>IFERROR(__xludf.dummyfunction("""COMPUTED_VALUE"""),"Comum")</f>
        <v>Comum</v>
      </c>
      <c r="H351" s="3" t="str">
        <f>IFERROR(__xludf.dummyfunction("""COMPUTED_VALUE"""),"5")</f>
        <v>5</v>
      </c>
      <c r="I351" s="147" t="str">
        <f>IFERROR(__xludf.dummyfunction("""COMPUTED_VALUE"""),"26042615582")</f>
        <v>26042615582</v>
      </c>
      <c r="J351" s="3" t="str">
        <f>IFERROR(__xludf.dummyfunction("""COMPUTED_VALUE"""),"22/04/2026 11:52:44")</f>
        <v>22/04/2026 11:52:44</v>
      </c>
      <c r="K351" s="3" t="str">
        <f>IFERROR(__xludf.dummyfunction("""COMPUTED_VALUE"""),"HARIEL MIGUEL FAUSTINO")</f>
        <v>HARIEL MIGUEL FAUSTINO</v>
      </c>
      <c r="L351" s="146" t="str">
        <f>IFERROR(__xludf.dummyfunction("""COMPUTED_VALUE"""),"186.111.564-47")</f>
        <v>186.111.564-47</v>
      </c>
      <c r="M351" s="146" t="str">
        <f>IFERROR(__xludf.dummyfunction("""COMPUTED_VALUE"""),"15/07/2023")</f>
        <v>15/07/2023</v>
      </c>
      <c r="N351" s="3"/>
      <c r="O351" s="3" t="str">
        <f>IFERROR(__xludf.dummyfunction("""COMPUTED_VALUE"""),"0")</f>
        <v>0</v>
      </c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 spans="1:29">
      <c r="A352" s="3"/>
      <c r="B352" s="3" t="str">
        <f t="array" ref="B352">_xlfn.XLOOKUP(D352,Tabela_Dados_Esc_JAB_2026[INEP],Tabela_Dados_Esc_JAB_2026[REGIONAL],"NE",0)</f>
        <v>REGIONAL 2</v>
      </c>
      <c r="C352" s="4" t="str">
        <f>IFERROR(__xludf.dummyfunction("""COMPUTED_VALUE"""),"CRECHE PROFESSORA LEDA MARIA QUEIROZ DO REGO BARROS")</f>
        <v>CRECHE PROFESSORA LEDA MARIA QUEIROZ DO REGO BARROS</v>
      </c>
      <c r="D352" s="3" t="str">
        <f>IFERROR(__xludf.dummyfunction("""COMPUTED_VALUE"""),"26190168")</f>
        <v>26190168</v>
      </c>
      <c r="E352" s="3" t="str">
        <f>IFERROR(__xludf.dummyfunction("""COMPUTED_VALUE"""),"INFANTIL 2")</f>
        <v>INFANTIL 2</v>
      </c>
      <c r="F352" s="3" t="str">
        <f>IFERROR(__xludf.dummyfunction("""COMPUTED_VALUE"""),"Integral")</f>
        <v>Integral</v>
      </c>
      <c r="G352" s="3" t="str">
        <f>IFERROR(__xludf.dummyfunction("""COMPUTED_VALUE"""),"Comum")</f>
        <v>Comum</v>
      </c>
      <c r="H352" s="3" t="str">
        <f>IFERROR(__xludf.dummyfunction("""COMPUTED_VALUE"""),"6")</f>
        <v>6</v>
      </c>
      <c r="I352" s="147" t="str">
        <f>IFERROR(__xludf.dummyfunction("""COMPUTED_VALUE"""),"26072427630")</f>
        <v>26072427630</v>
      </c>
      <c r="J352" s="3" t="str">
        <f>IFERROR(__xludf.dummyfunction("""COMPUTED_VALUE"""),"01/07/2026 14:38:50")</f>
        <v>01/07/2026 14:38:50</v>
      </c>
      <c r="K352" s="3" t="str">
        <f>IFERROR(__xludf.dummyfunction("""COMPUTED_VALUE"""),"Aurora lima Dantas Farias Vera Cruz")</f>
        <v>Aurora lima Dantas Farias Vera Cruz</v>
      </c>
      <c r="L352" s="146" t="str">
        <f>IFERROR(__xludf.dummyfunction("""COMPUTED_VALUE"""),"185.408.424-08")</f>
        <v>185.408.424-08</v>
      </c>
      <c r="M352" s="146" t="str">
        <f>IFERROR(__xludf.dummyfunction("""COMPUTED_VALUE"""),"20/05/2023")</f>
        <v>20/05/2023</v>
      </c>
      <c r="N352" s="3"/>
      <c r="O352" s="3" t="str">
        <f>IFERROR(__xludf.dummyfunction("""COMPUTED_VALUE"""),"0")</f>
        <v>0</v>
      </c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 spans="1:29">
      <c r="A353" s="3"/>
      <c r="B353" s="3" t="str">
        <f t="array" ref="B353">_xlfn.XLOOKUP(D353,Tabela_Dados_Esc_JAB_2026[INEP],Tabela_Dados_Esc_JAB_2026[REGIONAL],"NE",0)</f>
        <v>REGIONAL 2</v>
      </c>
      <c r="C353" s="4" t="str">
        <f>IFERROR(__xludf.dummyfunction("""COMPUTED_VALUE"""),"CRECHE PROFESSORA LEDA MARIA QUEIROZ DO REGO BARROS")</f>
        <v>CRECHE PROFESSORA LEDA MARIA QUEIROZ DO REGO BARROS</v>
      </c>
      <c r="D353" s="3" t="str">
        <f>IFERROR(__xludf.dummyfunction("""COMPUTED_VALUE"""),"26190168")</f>
        <v>26190168</v>
      </c>
      <c r="E353" s="3" t="str">
        <f>IFERROR(__xludf.dummyfunction("""COMPUTED_VALUE"""),"INFANTIL 2")</f>
        <v>INFANTIL 2</v>
      </c>
      <c r="F353" s="3" t="str">
        <f>IFERROR(__xludf.dummyfunction("""COMPUTED_VALUE"""),"Integral")</f>
        <v>Integral</v>
      </c>
      <c r="G353" s="3" t="str">
        <f>IFERROR(__xludf.dummyfunction("""COMPUTED_VALUE"""),"Comum")</f>
        <v>Comum</v>
      </c>
      <c r="H353" s="3" t="str">
        <f>IFERROR(__xludf.dummyfunction("""COMPUTED_VALUE"""),"7")</f>
        <v>7</v>
      </c>
      <c r="I353" s="147" t="str">
        <f>IFERROR(__xludf.dummyfunction("""COMPUTED_VALUE"""),"26092996718")</f>
        <v>26092996718</v>
      </c>
      <c r="J353" s="3" t="str">
        <f>IFERROR(__xludf.dummyfunction("""COMPUTED_VALUE"""),"03/09/2026 16:47:49")</f>
        <v>03/09/2026 16:47:49</v>
      </c>
      <c r="K353" s="3" t="str">
        <f>IFERROR(__xludf.dummyfunction("""COMPUTED_VALUE"""),"Emily sofia carvalho da costa")</f>
        <v>Emily sofia carvalho da costa</v>
      </c>
      <c r="L353" s="146" t="str">
        <f>IFERROR(__xludf.dummyfunction("""COMPUTED_VALUE"""),"001.041.054-61")</f>
        <v>001.041.054-61</v>
      </c>
      <c r="M353" s="146" t="str">
        <f>IFERROR(__xludf.dummyfunction("""COMPUTED_VALUE"""),"20/11/2023")</f>
        <v>20/11/2023</v>
      </c>
      <c r="N353" s="3"/>
      <c r="O353" s="3" t="str">
        <f>IFERROR(__xludf.dummyfunction("""COMPUTED_VALUE"""),"0")</f>
        <v>0</v>
      </c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 spans="1:29">
      <c r="A354" s="3"/>
      <c r="B354" s="3" t="str">
        <f t="array" ref="B354">_xlfn.XLOOKUP(D354,Tabela_Dados_Esc_JAB_2026[INEP],Tabela_Dados_Esc_JAB_2026[REGIONAL],"NE",0)</f>
        <v>REGIONAL 2</v>
      </c>
      <c r="C354" s="4" t="str">
        <f>IFERROR(__xludf.dummyfunction("""COMPUTED_VALUE"""),"CRECHE PROFESSORA LEDA MARIA QUEIROZ DO REGO BARROS")</f>
        <v>CRECHE PROFESSORA LEDA MARIA QUEIROZ DO REGO BARROS</v>
      </c>
      <c r="D354" s="3" t="str">
        <f>IFERROR(__xludf.dummyfunction("""COMPUTED_VALUE"""),"26190168")</f>
        <v>26190168</v>
      </c>
      <c r="E354" s="3" t="str">
        <f>IFERROR(__xludf.dummyfunction("""COMPUTED_VALUE"""),"INFANTIL 2")</f>
        <v>INFANTIL 2</v>
      </c>
      <c r="F354" s="3" t="str">
        <f>IFERROR(__xludf.dummyfunction("""COMPUTED_VALUE"""),"Integral")</f>
        <v>Integral</v>
      </c>
      <c r="G354" s="3" t="str">
        <f>IFERROR(__xludf.dummyfunction("""COMPUTED_VALUE"""),"Comum")</f>
        <v>Comum</v>
      </c>
      <c r="H354" s="3" t="str">
        <f>IFERROR(__xludf.dummyfunction("""COMPUTED_VALUE"""),"8")</f>
        <v>8</v>
      </c>
      <c r="I354" s="147" t="str">
        <f>IFERROR(__xludf.dummyfunction("""COMPUTED_VALUE"""),"26092562373")</f>
        <v>26092562373</v>
      </c>
      <c r="J354" s="3" t="str">
        <f>IFERROR(__xludf.dummyfunction("""COMPUTED_VALUE"""),"10/09/2026 21:06:59")</f>
        <v>10/09/2026 21:06:59</v>
      </c>
      <c r="K354" s="3" t="str">
        <f>IFERROR(__xludf.dummyfunction("""COMPUTED_VALUE"""),"Àgata Sofia Alves De Santana")</f>
        <v>Àgata Sofia Alves De Santana</v>
      </c>
      <c r="L354" s="146" t="str">
        <f>IFERROR(__xludf.dummyfunction("""COMPUTED_VALUE"""),"001.450.834-62")</f>
        <v>001.450.834-62</v>
      </c>
      <c r="M354" s="146" t="str">
        <f>IFERROR(__xludf.dummyfunction("""COMPUTED_VALUE"""),"29/12/2023")</f>
        <v>29/12/2023</v>
      </c>
      <c r="N354" s="3"/>
      <c r="O354" s="3" t="str">
        <f>IFERROR(__xludf.dummyfunction("""COMPUTED_VALUE"""),"0")</f>
        <v>0</v>
      </c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 spans="1:29">
      <c r="A355" s="3"/>
      <c r="B355" s="3" t="str">
        <f t="array" ref="B355">_xlfn.XLOOKUP(D355,Tabela_Dados_Esc_JAB_2026[INEP],Tabela_Dados_Esc_JAB_2026[REGIONAL],"NE",0)</f>
        <v>REGIONAL 2</v>
      </c>
      <c r="C355" s="4" t="str">
        <f>IFERROR(__xludf.dummyfunction("""COMPUTED_VALUE"""),"CRECHE PROFESSORA LEDA MARIA QUEIROZ DO REGO BARROS")</f>
        <v>CRECHE PROFESSORA LEDA MARIA QUEIROZ DO REGO BARROS</v>
      </c>
      <c r="D355" s="3" t="str">
        <f>IFERROR(__xludf.dummyfunction("""COMPUTED_VALUE"""),"26190168")</f>
        <v>26190168</v>
      </c>
      <c r="E355" s="3" t="str">
        <f>IFERROR(__xludf.dummyfunction("""COMPUTED_VALUE"""),"INFANTIL 2")</f>
        <v>INFANTIL 2</v>
      </c>
      <c r="F355" s="3" t="str">
        <f>IFERROR(__xludf.dummyfunction("""COMPUTED_VALUE"""),"Integral")</f>
        <v>Integral</v>
      </c>
      <c r="G355" s="3" t="str">
        <f>IFERROR(__xludf.dummyfunction("""COMPUTED_VALUE"""),"Comum")</f>
        <v>Comum</v>
      </c>
      <c r="H355" s="3" t="str">
        <f>IFERROR(__xludf.dummyfunction("""COMPUTED_VALUE"""),"9")</f>
        <v>9</v>
      </c>
      <c r="I355" s="147" t="str">
        <f>IFERROR(__xludf.dummyfunction("""COMPUTED_VALUE"""),"26092780800")</f>
        <v>26092780800</v>
      </c>
      <c r="J355" s="3" t="str">
        <f>IFERROR(__xludf.dummyfunction("""COMPUTED_VALUE"""),"10/09/2026 21:43:57")</f>
        <v>10/09/2026 21:43:57</v>
      </c>
      <c r="K355" s="3" t="str">
        <f>IFERROR(__xludf.dummyfunction("""COMPUTED_VALUE"""),"Myrian Rebeca Lopes Borges")</f>
        <v>Myrian Rebeca Lopes Borges</v>
      </c>
      <c r="L355" s="146" t="str">
        <f>IFERROR(__xludf.dummyfunction("""COMPUTED_VALUE"""),"002.224.504-95")</f>
        <v>002.224.504-95</v>
      </c>
      <c r="M355" s="146" t="str">
        <f>IFERROR(__xludf.dummyfunction("""COMPUTED_VALUE"""),"10/03/2024")</f>
        <v>10/03/2024</v>
      </c>
      <c r="N355" s="3"/>
      <c r="O355" s="3" t="str">
        <f>IFERROR(__xludf.dummyfunction("""COMPUTED_VALUE"""),"0")</f>
        <v>0</v>
      </c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hidden="1" customHeight="1" spans="1:29">
      <c r="A356" s="3"/>
      <c r="B356" s="3" t="str">
        <f t="array" ref="B356">_xlfn.XLOOKUP(D356,Tabela_Dados_Esc_JAB_2026[INEP],Tabela_Dados_Esc_JAB_2026[REGIONAL],"NE",0)</f>
        <v>REGIONAL 5</v>
      </c>
      <c r="C356" s="4" t="str">
        <f>IFERROR(__xludf.dummyfunction("""COMPUTED_VALUE"""),"ESCOLA DIVINA PROVIDENCIA")</f>
        <v>ESCOLA DIVINA PROVIDENCIA</v>
      </c>
      <c r="D356" s="3" t="str">
        <f>IFERROR(__xludf.dummyfunction("""COMPUTED_VALUE"""),"26111659")</f>
        <v>26111659</v>
      </c>
      <c r="E356" s="3" t="str">
        <f>IFERROR(__xludf.dummyfunction("""COMPUTED_VALUE"""),"INFANTIL 4")</f>
        <v>INFANTIL 4</v>
      </c>
      <c r="F356" s="3" t="str">
        <f>IFERROR(__xludf.dummyfunction("""COMPUTED_VALUE"""),"Vespertino/Tarde")</f>
        <v>Vespertino/Tarde</v>
      </c>
      <c r="G356" s="3" t="str">
        <f>IFERROR(__xludf.dummyfunction("""COMPUTED_VALUE"""),"Comum")</f>
        <v>Comum</v>
      </c>
      <c r="H356" s="3" t="str">
        <f>IFERROR(__xludf.dummyfunction("""COMPUTED_VALUE"""),"1")</f>
        <v>1</v>
      </c>
      <c r="I356" s="145" t="str">
        <f>IFERROR(__xludf.dummyfunction("""COMPUTED_VALUE"""),"26042415086")</f>
        <v>26042415086</v>
      </c>
      <c r="J356" s="3" t="str">
        <f>IFERROR(__xludf.dummyfunction("""COMPUTED_VALUE"""),"26/04/2026 13:27:45")</f>
        <v>26/04/2026 13:27:45</v>
      </c>
      <c r="K356" s="3" t="str">
        <f>IFERROR(__xludf.dummyfunction("""COMPUTED_VALUE"""),"DAVI LUIS GOMES DA SILVA")</f>
        <v>DAVI LUIS GOMES DA SILVA</v>
      </c>
      <c r="L356" s="146" t="str">
        <f>IFERROR(__xludf.dummyfunction("""COMPUTED_VALUE"""),"178.029.944-38")</f>
        <v>178.029.944-38</v>
      </c>
      <c r="M356" s="146" t="str">
        <f>IFERROR(__xludf.dummyfunction("""COMPUTED_VALUE"""),"27/08/2021")</f>
        <v>27/08/2021</v>
      </c>
      <c r="N356" s="3"/>
      <c r="O356" s="3" t="str">
        <f>IFERROR(__xludf.dummyfunction("""COMPUTED_VALUE"""),"0")</f>
        <v>0</v>
      </c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hidden="1" customHeight="1" spans="1:29">
      <c r="A357" s="3"/>
      <c r="B357" s="3" t="str">
        <f t="array" ref="B357">_xlfn.XLOOKUP(D357,Tabela_Dados_Esc_JAB_2026[INEP],Tabela_Dados_Esc_JAB_2026[REGIONAL],"NE",0)</f>
        <v>REGIONAL 5</v>
      </c>
      <c r="C357" s="4" t="str">
        <f>IFERROR(__xludf.dummyfunction("""COMPUTED_VALUE"""),"ESCOLA DIVINA PROVIDENCIA")</f>
        <v>ESCOLA DIVINA PROVIDENCIA</v>
      </c>
      <c r="D357" s="3" t="str">
        <f>IFERROR(__xludf.dummyfunction("""COMPUTED_VALUE"""),"26111659")</f>
        <v>26111659</v>
      </c>
      <c r="E357" s="3" t="str">
        <f>IFERROR(__xludf.dummyfunction("""COMPUTED_VALUE"""),"INFANTIL 4")</f>
        <v>INFANTIL 4</v>
      </c>
      <c r="F357" s="3" t="str">
        <f>IFERROR(__xludf.dummyfunction("""COMPUTED_VALUE"""),"Vespertino/Tarde")</f>
        <v>Vespertino/Tarde</v>
      </c>
      <c r="G357" s="3" t="str">
        <f>IFERROR(__xludf.dummyfunction("""COMPUTED_VALUE"""),"Comum")</f>
        <v>Comum</v>
      </c>
      <c r="H357" s="3" t="str">
        <f>IFERROR(__xludf.dummyfunction("""COMPUTED_VALUE"""),"2")</f>
        <v>2</v>
      </c>
      <c r="I357" s="145" t="str">
        <f>IFERROR(__xludf.dummyfunction("""COMPUTED_VALUE"""),"26082645771")</f>
        <v>26082645771</v>
      </c>
      <c r="J357" s="3" t="str">
        <f>IFERROR(__xludf.dummyfunction("""COMPUTED_VALUE"""),"10/08/2026 15:27:49")</f>
        <v>10/08/2026 15:27:49</v>
      </c>
      <c r="K357" s="3" t="str">
        <f>IFERROR(__xludf.dummyfunction("""COMPUTED_VALUE"""),"LENARA KIMBERLLY ROCHA ANTUNES")</f>
        <v>LENARA KIMBERLLY ROCHA ANTUNES</v>
      </c>
      <c r="L357" s="146" t="str">
        <f>IFERROR(__xludf.dummyfunction("""COMPUTED_VALUE"""),"179.130.314-50")</f>
        <v>179.130.314-50</v>
      </c>
      <c r="M357" s="146" t="str">
        <f>IFERROR(__xludf.dummyfunction("""COMPUTED_VALUE"""),"09/11/2021")</f>
        <v>09/11/2021</v>
      </c>
      <c r="N357" s="3"/>
      <c r="O357" s="3" t="str">
        <f>IFERROR(__xludf.dummyfunction("""COMPUTED_VALUE"""),"0")</f>
        <v>0</v>
      </c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hidden="1" customHeight="1" spans="1:29">
      <c r="A358" s="3"/>
      <c r="B358" s="3" t="str">
        <f t="array" ref="B358">_xlfn.XLOOKUP(D358,Tabela_Dados_Esc_JAB_2026[INEP],Tabela_Dados_Esc_JAB_2026[REGIONAL],"NE",0)</f>
        <v>REGIONAL 5</v>
      </c>
      <c r="C358" s="4" t="str">
        <f>IFERROR(__xludf.dummyfunction("""COMPUTED_VALUE"""),"ESCOLA DIVINA PROVIDENCIA")</f>
        <v>ESCOLA DIVINA PROVIDENCIA</v>
      </c>
      <c r="D358" s="3" t="str">
        <f>IFERROR(__xludf.dummyfunction("""COMPUTED_VALUE"""),"26111659")</f>
        <v>26111659</v>
      </c>
      <c r="E358" s="3" t="str">
        <f>IFERROR(__xludf.dummyfunction("""COMPUTED_VALUE"""),"INFANTIL 5")</f>
        <v>INFANTIL 5</v>
      </c>
      <c r="F358" s="3" t="str">
        <f>IFERROR(__xludf.dummyfunction("""COMPUTED_VALUE"""),"Matutino/Manhã")</f>
        <v>Matutino/Manhã</v>
      </c>
      <c r="G358" s="3" t="str">
        <f>IFERROR(__xludf.dummyfunction("""COMPUTED_VALUE"""),"Comum")</f>
        <v>Comum</v>
      </c>
      <c r="H358" s="3" t="str">
        <f>IFERROR(__xludf.dummyfunction("""COMPUTED_VALUE"""),"1")</f>
        <v>1</v>
      </c>
      <c r="I358" s="145" t="str">
        <f>IFERROR(__xludf.dummyfunction("""COMPUTED_VALUE"""),"26022004708")</f>
        <v>26022004708</v>
      </c>
      <c r="J358" s="3" t="str">
        <f>IFERROR(__xludf.dummyfunction("""COMPUTED_VALUE"""),"26/02/2026 10:13:54")</f>
        <v>26/02/2026 10:13:54</v>
      </c>
      <c r="K358" s="3" t="str">
        <f>IFERROR(__xludf.dummyfunction("""COMPUTED_VALUE"""),"ANTHONY PIETRO ALVES DA SILVA")</f>
        <v>ANTHONY PIETRO ALVES DA SILVA</v>
      </c>
      <c r="L358" s="146" t="str">
        <f>IFERROR(__xludf.dummyfunction("""COMPUTED_VALUE"""),"176.736.264-11")</f>
        <v>176.736.264-11</v>
      </c>
      <c r="M358" s="146" t="str">
        <f>IFERROR(__xludf.dummyfunction("""COMPUTED_VALUE"""),"01/01/2021")</f>
        <v>01/01/2021</v>
      </c>
      <c r="N358" s="3"/>
      <c r="O358" s="3" t="str">
        <f>IFERROR(__xludf.dummyfunction("""COMPUTED_VALUE"""),"0")</f>
        <v>0</v>
      </c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hidden="1" customHeight="1" spans="1:29">
      <c r="A359" s="3"/>
      <c r="B359" s="3" t="str">
        <f t="array" ref="B359">_xlfn.XLOOKUP(D359,Tabela_Dados_Esc_JAB_2026[INEP],Tabela_Dados_Esc_JAB_2026[REGIONAL],"NE",0)</f>
        <v>REGIONAL 5</v>
      </c>
      <c r="C359" s="4" t="str">
        <f>IFERROR(__xludf.dummyfunction("""COMPUTED_VALUE"""),"ESCOLA DIVINA PROVIDENCIA")</f>
        <v>ESCOLA DIVINA PROVIDENCIA</v>
      </c>
      <c r="D359" s="3" t="str">
        <f>IFERROR(__xludf.dummyfunction("""COMPUTED_VALUE"""),"26111659")</f>
        <v>26111659</v>
      </c>
      <c r="E359" s="3" t="str">
        <f>IFERROR(__xludf.dummyfunction("""COMPUTED_VALUE"""),"INFANTIL 5")</f>
        <v>INFANTIL 5</v>
      </c>
      <c r="F359" s="3" t="str">
        <f>IFERROR(__xludf.dummyfunction("""COMPUTED_VALUE"""),"Matutino/Manhã")</f>
        <v>Matutino/Manhã</v>
      </c>
      <c r="G359" s="3" t="str">
        <f>IFERROR(__xludf.dummyfunction("""COMPUTED_VALUE"""),"Comum")</f>
        <v>Comum</v>
      </c>
      <c r="H359" s="3" t="str">
        <f>IFERROR(__xludf.dummyfunction("""COMPUTED_VALUE"""),"2")</f>
        <v>2</v>
      </c>
      <c r="I359" s="145" t="str">
        <f>IFERROR(__xludf.dummyfunction("""COMPUTED_VALUE"""),"26082395934")</f>
        <v>26082395934</v>
      </c>
      <c r="J359" s="3" t="str">
        <f>IFERROR(__xludf.dummyfunction("""COMPUTED_VALUE"""),"27/08/2026 08:35:09")</f>
        <v>27/08/2026 08:35:09</v>
      </c>
      <c r="K359" s="3" t="str">
        <f>IFERROR(__xludf.dummyfunction("""COMPUTED_VALUE"""),"Rael Portela Cavalcanti")</f>
        <v>Rael Portela Cavalcanti</v>
      </c>
      <c r="L359" s="146" t="str">
        <f>IFERROR(__xludf.dummyfunction("""COMPUTED_VALUE"""),"180.910.174-30")</f>
        <v>180.910.174-30</v>
      </c>
      <c r="M359" s="146" t="str">
        <f>IFERROR(__xludf.dummyfunction("""COMPUTED_VALUE"""),"20/03/2021")</f>
        <v>20/03/2021</v>
      </c>
      <c r="N359" s="3"/>
      <c r="O359" s="3" t="str">
        <f>IFERROR(__xludf.dummyfunction("""COMPUTED_VALUE"""),"0")</f>
        <v>0</v>
      </c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hidden="1" customHeight="1" spans="1:29">
      <c r="A360" s="3"/>
      <c r="B360" s="3" t="str">
        <f t="array" ref="B360">_xlfn.XLOOKUP(D360,Tabela_Dados_Esc_JAB_2026[INEP],Tabela_Dados_Esc_JAB_2026[REGIONAL],"NE",0)</f>
        <v>REGIONAL 5</v>
      </c>
      <c r="C360" s="4" t="str">
        <f>IFERROR(__xludf.dummyfunction("""COMPUTED_VALUE"""),"ESCOLA DIVINA PROVIDENCIA")</f>
        <v>ESCOLA DIVINA PROVIDENCIA</v>
      </c>
      <c r="D360" s="3" t="str">
        <f>IFERROR(__xludf.dummyfunction("""COMPUTED_VALUE"""),"26111659")</f>
        <v>26111659</v>
      </c>
      <c r="E360" s="3" t="str">
        <f>IFERROR(__xludf.dummyfunction("""COMPUTED_VALUE"""),"INFANTIL 5")</f>
        <v>INFANTIL 5</v>
      </c>
      <c r="F360" s="3" t="str">
        <f>IFERROR(__xludf.dummyfunction("""COMPUTED_VALUE"""),"Matutino/Manhã")</f>
        <v>Matutino/Manhã</v>
      </c>
      <c r="G360" s="3" t="str">
        <f>IFERROR(__xludf.dummyfunction("""COMPUTED_VALUE"""),"Comum")</f>
        <v>Comum</v>
      </c>
      <c r="H360" s="3" t="str">
        <f>IFERROR(__xludf.dummyfunction("""COMPUTED_VALUE"""),"3")</f>
        <v>3</v>
      </c>
      <c r="I360" s="145" t="str">
        <f>IFERROR(__xludf.dummyfunction("""COMPUTED_VALUE"""),"26092450690")</f>
        <v>26092450690</v>
      </c>
      <c r="J360" s="3" t="str">
        <f>IFERROR(__xludf.dummyfunction("""COMPUTED_VALUE"""),"21/09/2026 15:41:17")</f>
        <v>21/09/2026 15:41:17</v>
      </c>
      <c r="K360" s="3" t="str">
        <f>IFERROR(__xludf.dummyfunction("""COMPUTED_VALUE"""),"Matheus Henrique oliveira dos Santos")</f>
        <v>Matheus Henrique oliveira dos Santos</v>
      </c>
      <c r="L360" s="146" t="str">
        <f>IFERROR(__xludf.dummyfunction("""COMPUTED_VALUE"""),"174.002.934-86")</f>
        <v>174.002.934-86</v>
      </c>
      <c r="M360" s="146" t="str">
        <f>IFERROR(__xludf.dummyfunction("""COMPUTED_VALUE"""),"12/07/2020")</f>
        <v>12/07/2020</v>
      </c>
      <c r="N360" s="3"/>
      <c r="O360" s="3" t="str">
        <f>IFERROR(__xludf.dummyfunction("""COMPUTED_VALUE"""),"0")</f>
        <v>0</v>
      </c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hidden="1" customHeight="1" spans="1:29">
      <c r="A361" s="3"/>
      <c r="B361" s="3" t="str">
        <f t="array" ref="B361">_xlfn.XLOOKUP(D361,Tabela_Dados_Esc_JAB_2026[INEP],Tabela_Dados_Esc_JAB_2026[REGIONAL],"NE",0)</f>
        <v>REGIONAL 5</v>
      </c>
      <c r="C361" s="4" t="str">
        <f>IFERROR(__xludf.dummyfunction("""COMPUTED_VALUE"""),"ESCOLA DIVINA PROVIDENCIA")</f>
        <v>ESCOLA DIVINA PROVIDENCIA</v>
      </c>
      <c r="D361" s="3" t="str">
        <f>IFERROR(__xludf.dummyfunction("""COMPUTED_VALUE"""),"26111659")</f>
        <v>26111659</v>
      </c>
      <c r="E361" s="3" t="str">
        <f>IFERROR(__xludf.dummyfunction("""COMPUTED_VALUE"""),"INFANTIL 5")</f>
        <v>INFANTIL 5</v>
      </c>
      <c r="F361" s="3" t="str">
        <f>IFERROR(__xludf.dummyfunction("""COMPUTED_VALUE"""),"Vespertino/Tarde")</f>
        <v>Vespertino/Tarde</v>
      </c>
      <c r="G361" s="3" t="str">
        <f>IFERROR(__xludf.dummyfunction("""COMPUTED_VALUE"""),"Comum")</f>
        <v>Comum</v>
      </c>
      <c r="H361" s="3" t="str">
        <f>IFERROR(__xludf.dummyfunction("""COMPUTED_VALUE"""),"1")</f>
        <v>1</v>
      </c>
      <c r="I361" s="145" t="str">
        <f>IFERROR(__xludf.dummyfunction("""COMPUTED_VALUE"""),"26012838763")</f>
        <v>26012838763</v>
      </c>
      <c r="J361" s="3" t="str">
        <f>IFERROR(__xludf.dummyfunction("""COMPUTED_VALUE"""),"28/01/2026 08:59:44")</f>
        <v>28/01/2026 08:59:44</v>
      </c>
      <c r="K361" s="3" t="str">
        <f>IFERROR(__xludf.dummyfunction("""COMPUTED_VALUE"""),"LAUREN HELOÍSA")</f>
        <v>LAUREN HELOÍSA</v>
      </c>
      <c r="L361" s="146" t="str">
        <f>IFERROR(__xludf.dummyfunction("""COMPUTED_VALUE"""),"173.232.204-08")</f>
        <v>173.232.204-08</v>
      </c>
      <c r="M361" s="146" t="str">
        <f>IFERROR(__xludf.dummyfunction("""COMPUTED_VALUE"""),"18/08/2020")</f>
        <v>18/08/2020</v>
      </c>
      <c r="N361" s="3"/>
      <c r="O361" s="3" t="str">
        <f>IFERROR(__xludf.dummyfunction("""COMPUTED_VALUE"""),"0")</f>
        <v>0</v>
      </c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hidden="1" customHeight="1" spans="1:29">
      <c r="A362" s="3"/>
      <c r="B362" s="3" t="str">
        <f t="array" ref="B362">_xlfn.XLOOKUP(D362,Tabela_Dados_Esc_JAB_2026[INEP],Tabela_Dados_Esc_JAB_2026[REGIONAL],"NE",0)</f>
        <v>REGIONAL 5</v>
      </c>
      <c r="C362" s="4" t="str">
        <f>IFERROR(__xludf.dummyfunction("""COMPUTED_VALUE"""),"ESCOLA DIVINA PROVIDENCIA")</f>
        <v>ESCOLA DIVINA PROVIDENCIA</v>
      </c>
      <c r="D362" s="3" t="str">
        <f>IFERROR(__xludf.dummyfunction("""COMPUTED_VALUE"""),"26111659")</f>
        <v>26111659</v>
      </c>
      <c r="E362" s="3" t="str">
        <f>IFERROR(__xludf.dummyfunction("""COMPUTED_VALUE"""),"INFANTIL 5")</f>
        <v>INFANTIL 5</v>
      </c>
      <c r="F362" s="3" t="str">
        <f>IFERROR(__xludf.dummyfunction("""COMPUTED_VALUE"""),"Vespertino/Tarde")</f>
        <v>Vespertino/Tarde</v>
      </c>
      <c r="G362" s="3" t="str">
        <f>IFERROR(__xludf.dummyfunction("""COMPUTED_VALUE"""),"Comum")</f>
        <v>Comum</v>
      </c>
      <c r="H362" s="3" t="str">
        <f>IFERROR(__xludf.dummyfunction("""COMPUTED_VALUE"""),"2")</f>
        <v>2</v>
      </c>
      <c r="I362" s="145" t="str">
        <f>IFERROR(__xludf.dummyfunction("""COMPUTED_VALUE"""),"26012224020")</f>
        <v>26012224020</v>
      </c>
      <c r="J362" s="3" t="str">
        <f>IFERROR(__xludf.dummyfunction("""COMPUTED_VALUE"""),"28/01/2026 13:07:11")</f>
        <v>28/01/2026 13:07:11</v>
      </c>
      <c r="K362" s="3" t="str">
        <f>IFERROR(__xludf.dummyfunction("""COMPUTED_VALUE"""),"AYLLA SOPHIA ASSUNÇÃO DA SILVA")</f>
        <v>AYLLA SOPHIA ASSUNÇÃO DA SILVA</v>
      </c>
      <c r="L362" s="146" t="str">
        <f>IFERROR(__xludf.dummyfunction("""COMPUTED_VALUE"""),"171.767.474-74")</f>
        <v>171.767.474-74</v>
      </c>
      <c r="M362" s="146" t="str">
        <f>IFERROR(__xludf.dummyfunction("""COMPUTED_VALUE"""),"06/05/2020")</f>
        <v>06/05/2020</v>
      </c>
      <c r="N362" s="3"/>
      <c r="O362" s="3" t="str">
        <f>IFERROR(__xludf.dummyfunction("""COMPUTED_VALUE"""),"0")</f>
        <v>0</v>
      </c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hidden="1" customHeight="1" spans="1:29">
      <c r="A363" s="3"/>
      <c r="B363" s="3" t="str">
        <f t="array" ref="B363">_xlfn.XLOOKUP(D363,Tabela_Dados_Esc_JAB_2026[INEP],Tabela_Dados_Esc_JAB_2026[REGIONAL],"NE",0)</f>
        <v>REGIONAL 5</v>
      </c>
      <c r="C363" s="4" t="str">
        <f>IFERROR(__xludf.dummyfunction("""COMPUTED_VALUE"""),"ESCOLA DIVINA PROVIDENCIA")</f>
        <v>ESCOLA DIVINA PROVIDENCIA</v>
      </c>
      <c r="D363" s="3" t="str">
        <f>IFERROR(__xludf.dummyfunction("""COMPUTED_VALUE"""),"26111659")</f>
        <v>26111659</v>
      </c>
      <c r="E363" s="3" t="str">
        <f>IFERROR(__xludf.dummyfunction("""COMPUTED_VALUE"""),"INFANTIL 5")</f>
        <v>INFANTIL 5</v>
      </c>
      <c r="F363" s="3" t="str">
        <f>IFERROR(__xludf.dummyfunction("""COMPUTED_VALUE"""),"Vespertino/Tarde")</f>
        <v>Vespertino/Tarde</v>
      </c>
      <c r="G363" s="3" t="str">
        <f>IFERROR(__xludf.dummyfunction("""COMPUTED_VALUE"""),"Comum")</f>
        <v>Comum</v>
      </c>
      <c r="H363" s="3" t="str">
        <f>IFERROR(__xludf.dummyfunction("""COMPUTED_VALUE"""),"3")</f>
        <v>3</v>
      </c>
      <c r="I363" s="147" t="str">
        <f>IFERROR(__xludf.dummyfunction("""COMPUTED_VALUE"""),"26022432207")</f>
        <v>26022432207</v>
      </c>
      <c r="J363" s="3" t="str">
        <f>IFERROR(__xludf.dummyfunction("""COMPUTED_VALUE"""),"04/02/2026 18:23:41")</f>
        <v>04/02/2026 18:23:41</v>
      </c>
      <c r="K363" s="3" t="str">
        <f>IFERROR(__xludf.dummyfunction("""COMPUTED_VALUE"""),"LUANNY FERREIRA SANTIAGO")</f>
        <v>LUANNY FERREIRA SANTIAGO</v>
      </c>
      <c r="L363" s="146" t="str">
        <f>IFERROR(__xludf.dummyfunction("""COMPUTED_VALUE"""),"172.863.234-07")</f>
        <v>172.863.234-07</v>
      </c>
      <c r="M363" s="146" t="str">
        <f>IFERROR(__xludf.dummyfunction("""COMPUTED_VALUE"""),"07/04/2020")</f>
        <v>07/04/2020</v>
      </c>
      <c r="N363" s="3"/>
      <c r="O363" s="3" t="str">
        <f>IFERROR(__xludf.dummyfunction("""COMPUTED_VALUE"""),"0")</f>
        <v>0</v>
      </c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hidden="1" customHeight="1" spans="1:29">
      <c r="A364" s="3"/>
      <c r="B364" s="3" t="str">
        <f t="array" ref="B364">_xlfn.XLOOKUP(D364,Tabela_Dados_Esc_JAB_2026[INEP],Tabela_Dados_Esc_JAB_2026[REGIONAL],"NE",0)</f>
        <v>REGIONAL 5</v>
      </c>
      <c r="C364" s="4" t="str">
        <f>IFERROR(__xludf.dummyfunction("""COMPUTED_VALUE"""),"ESCOLA DIVINA PROVIDENCIA")</f>
        <v>ESCOLA DIVINA PROVIDENCIA</v>
      </c>
      <c r="D364" s="3" t="str">
        <f>IFERROR(__xludf.dummyfunction("""COMPUTED_VALUE"""),"26111659")</f>
        <v>26111659</v>
      </c>
      <c r="E364" s="3" t="str">
        <f>IFERROR(__xludf.dummyfunction("""COMPUTED_VALUE"""),"INFANTIL 5")</f>
        <v>INFANTIL 5</v>
      </c>
      <c r="F364" s="3" t="str">
        <f>IFERROR(__xludf.dummyfunction("""COMPUTED_VALUE"""),"Vespertino/Tarde")</f>
        <v>Vespertino/Tarde</v>
      </c>
      <c r="G364" s="3" t="str">
        <f>IFERROR(__xludf.dummyfunction("""COMPUTED_VALUE"""),"Comum")</f>
        <v>Comum</v>
      </c>
      <c r="H364" s="3" t="str">
        <f>IFERROR(__xludf.dummyfunction("""COMPUTED_VALUE"""),"4")</f>
        <v>4</v>
      </c>
      <c r="I364" s="147" t="str">
        <f>IFERROR(__xludf.dummyfunction("""COMPUTED_VALUE"""),"26062450861")</f>
        <v>26062450861</v>
      </c>
      <c r="J364" s="3" t="str">
        <f>IFERROR(__xludf.dummyfunction("""COMPUTED_VALUE"""),"09/06/2026 13:37:11")</f>
        <v>09/06/2026 13:37:11</v>
      </c>
      <c r="K364" s="3" t="str">
        <f>IFERROR(__xludf.dummyfunction("""COMPUTED_VALUE"""),"VITOR HUGO GOMES DO NASCIMENTO")</f>
        <v>VITOR HUGO GOMES DO NASCIMENTO</v>
      </c>
      <c r="L364" s="146" t="str">
        <f>IFERROR(__xludf.dummyfunction("""COMPUTED_VALUE"""),"174.039.834-32")</f>
        <v>174.039.834-32</v>
      </c>
      <c r="M364" s="146" t="str">
        <f>IFERROR(__xludf.dummyfunction("""COMPUTED_VALUE"""),"05/10/2020")</f>
        <v>05/10/2020</v>
      </c>
      <c r="N364" s="3"/>
      <c r="O364" s="3" t="str">
        <f>IFERROR(__xludf.dummyfunction("""COMPUTED_VALUE"""),"0")</f>
        <v>0</v>
      </c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hidden="1" customHeight="1" spans="1:29">
      <c r="A365" s="3"/>
      <c r="B365" s="3" t="str">
        <f t="array" ref="B365">_xlfn.XLOOKUP(D365,Tabela_Dados_Esc_JAB_2026[INEP],Tabela_Dados_Esc_JAB_2026[REGIONAL],"NE",0)</f>
        <v>REGIONAL 6</v>
      </c>
      <c r="C365" s="4" t="str">
        <f>IFERROR(__xludf.dummyfunction("""COMPUTED_VALUE"""),"ESCOLA MUNICIPAL ALMIRANTE TAMANDARE")</f>
        <v>ESCOLA MUNICIPAL ALMIRANTE TAMANDARE</v>
      </c>
      <c r="D365" s="3" t="str">
        <f>IFERROR(__xludf.dummyfunction("""COMPUTED_VALUE"""),"26109328")</f>
        <v>26109328</v>
      </c>
      <c r="E365" s="3" t="str">
        <f>IFERROR(__xludf.dummyfunction("""COMPUTED_VALUE"""),"INFANTIL 4")</f>
        <v>INFANTIL 4</v>
      </c>
      <c r="F365" s="3" t="str">
        <f>IFERROR(__xludf.dummyfunction("""COMPUTED_VALUE"""),"Vespertino/Tarde")</f>
        <v>Vespertino/Tarde</v>
      </c>
      <c r="G365" s="3" t="str">
        <f>IFERROR(__xludf.dummyfunction("""COMPUTED_VALUE"""),"Comum")</f>
        <v>Comum</v>
      </c>
      <c r="H365" s="3" t="str">
        <f>IFERROR(__xludf.dummyfunction("""COMPUTED_VALUE"""),"1")</f>
        <v>1</v>
      </c>
      <c r="I365" s="147" t="str">
        <f>IFERROR(__xludf.dummyfunction("""COMPUTED_VALUE"""),"26042789624")</f>
        <v>26042789624</v>
      </c>
      <c r="J365" s="3" t="str">
        <f>IFERROR(__xludf.dummyfunction("""COMPUTED_VALUE"""),"06/04/2026 09:58:26")</f>
        <v>06/04/2026 09:58:26</v>
      </c>
      <c r="K365" s="3" t="str">
        <f>IFERROR(__xludf.dummyfunction("""COMPUTED_VALUE"""),"HENRIQUE MATEUS SANTANA DA SILVA")</f>
        <v>HENRIQUE MATEUS SANTANA DA SILVA</v>
      </c>
      <c r="L365" s="146" t="str">
        <f>IFERROR(__xludf.dummyfunction("""COMPUTED_VALUE"""),"180.914.944-40")</f>
        <v>180.914.944-40</v>
      </c>
      <c r="M365" s="146" t="str">
        <f>IFERROR(__xludf.dummyfunction("""COMPUTED_VALUE"""),"17/01/2022")</f>
        <v>17/01/2022</v>
      </c>
      <c r="N365" s="3"/>
      <c r="O365" s="3" t="str">
        <f>IFERROR(__xludf.dummyfunction("""COMPUTED_VALUE"""),"0")</f>
        <v>0</v>
      </c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hidden="1" customHeight="1" spans="1:29">
      <c r="A366" s="3"/>
      <c r="B366" s="3" t="str">
        <f t="array" ref="B366">_xlfn.XLOOKUP(D366,Tabela_Dados_Esc_JAB_2026[INEP],Tabela_Dados_Esc_JAB_2026[REGIONAL],"NE",0)</f>
        <v>REGIONAL 6</v>
      </c>
      <c r="C366" s="4" t="str">
        <f>IFERROR(__xludf.dummyfunction("""COMPUTED_VALUE"""),"ESCOLA MUNICIPAL ALMIRANTE TAMANDARE")</f>
        <v>ESCOLA MUNICIPAL ALMIRANTE TAMANDARE</v>
      </c>
      <c r="D366" s="3" t="str">
        <f>IFERROR(__xludf.dummyfunction("""COMPUTED_VALUE"""),"26109328")</f>
        <v>26109328</v>
      </c>
      <c r="E366" s="3" t="str">
        <f>IFERROR(__xludf.dummyfunction("""COMPUTED_VALUE"""),"INFANTIL 5")</f>
        <v>INFANTIL 5</v>
      </c>
      <c r="F366" s="3" t="str">
        <f>IFERROR(__xludf.dummyfunction("""COMPUTED_VALUE"""),"Matutino/Manhã")</f>
        <v>Matutino/Manhã</v>
      </c>
      <c r="G366" s="3" t="str">
        <f>IFERROR(__xludf.dummyfunction("""COMPUTED_VALUE"""),"Comum")</f>
        <v>Comum</v>
      </c>
      <c r="H366" s="3" t="str">
        <f>IFERROR(__xludf.dummyfunction("""COMPUTED_VALUE"""),"1")</f>
        <v>1</v>
      </c>
      <c r="I366" s="147" t="str">
        <f>IFERROR(__xludf.dummyfunction("""COMPUTED_VALUE"""),"26032041396")</f>
        <v>26032041396</v>
      </c>
      <c r="J366" s="3" t="str">
        <f>IFERROR(__xludf.dummyfunction("""COMPUTED_VALUE"""),"16/03/2026 10:20:01")</f>
        <v>16/03/2026 10:20:01</v>
      </c>
      <c r="K366" s="3" t="str">
        <f>IFERROR(__xludf.dummyfunction("""COMPUTED_VALUE"""),"MARIA LUIZA ALVES DOS SANTOS")</f>
        <v>MARIA LUIZA ALVES DOS SANTOS</v>
      </c>
      <c r="L366" s="146" t="str">
        <f>IFERROR(__xludf.dummyfunction("""COMPUTED_VALUE"""),"176.993.744-79")</f>
        <v>176.993.744-79</v>
      </c>
      <c r="M366" s="146" t="str">
        <f>IFERROR(__xludf.dummyfunction("""COMPUTED_VALUE"""),"30/11/2020")</f>
        <v>30/11/2020</v>
      </c>
      <c r="N366" s="3"/>
      <c r="O366" s="3" t="str">
        <f>IFERROR(__xludf.dummyfunction("""COMPUTED_VALUE"""),"0")</f>
        <v>0</v>
      </c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hidden="1" customHeight="1" spans="1:29">
      <c r="A367" s="3"/>
      <c r="B367" s="3" t="str">
        <f t="array" ref="B367">_xlfn.XLOOKUP(D367,Tabela_Dados_Esc_JAB_2026[INEP],Tabela_Dados_Esc_JAB_2026[REGIONAL],"NE",0)</f>
        <v>REGIONAL 6</v>
      </c>
      <c r="C367" s="4" t="str">
        <f>IFERROR(__xludf.dummyfunction("""COMPUTED_VALUE"""),"ESCOLA MUNICIPAL ALMIRANTE TAMANDARE")</f>
        <v>ESCOLA MUNICIPAL ALMIRANTE TAMANDARE</v>
      </c>
      <c r="D367" s="3" t="str">
        <f>IFERROR(__xludf.dummyfunction("""COMPUTED_VALUE"""),"26109328")</f>
        <v>26109328</v>
      </c>
      <c r="E367" s="3" t="str">
        <f>IFERROR(__xludf.dummyfunction("""COMPUTED_VALUE"""),"INFANTIL 5")</f>
        <v>INFANTIL 5</v>
      </c>
      <c r="F367" s="3" t="str">
        <f>IFERROR(__xludf.dummyfunction("""COMPUTED_VALUE"""),"Vespertino/Tarde")</f>
        <v>Vespertino/Tarde</v>
      </c>
      <c r="G367" s="3" t="str">
        <f>IFERROR(__xludf.dummyfunction("""COMPUTED_VALUE"""),"Comum")</f>
        <v>Comum</v>
      </c>
      <c r="H367" s="3" t="str">
        <f>IFERROR(__xludf.dummyfunction("""COMPUTED_VALUE"""),"1")</f>
        <v>1</v>
      </c>
      <c r="I367" s="147" t="str">
        <f>IFERROR(__xludf.dummyfunction("""COMPUTED_VALUE"""),"26022576294")</f>
        <v>26022576294</v>
      </c>
      <c r="J367" s="3" t="str">
        <f>IFERROR(__xludf.dummyfunction("""COMPUTED_VALUE"""),"25/02/2026 15:33:50")</f>
        <v>25/02/2026 15:33:50</v>
      </c>
      <c r="K367" s="3" t="str">
        <f>IFERROR(__xludf.dummyfunction("""COMPUTED_VALUE"""),"ANNA JÚLIA CAMPELO DOS SANTOS")</f>
        <v>ANNA JÚLIA CAMPELO DOS SANTOS</v>
      </c>
      <c r="L367" s="146" t="str">
        <f>IFERROR(__xludf.dummyfunction("""COMPUTED_VALUE"""),"174.878.864-76")</f>
        <v>174.878.864-76</v>
      </c>
      <c r="M367" s="146" t="str">
        <f>IFERROR(__xludf.dummyfunction("""COMPUTED_VALUE"""),"02/01/2021")</f>
        <v>02/01/2021</v>
      </c>
      <c r="N367" s="3"/>
      <c r="O367" s="3" t="str">
        <f>IFERROR(__xludf.dummyfunction("""COMPUTED_VALUE"""),"0")</f>
        <v>0</v>
      </c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hidden="1" customHeight="1" spans="1:29">
      <c r="A368" s="3"/>
      <c r="B368" s="3" t="str">
        <f t="array" ref="B368">_xlfn.XLOOKUP(D368,Tabela_Dados_Esc_JAB_2026[INEP],Tabela_Dados_Esc_JAB_2026[REGIONAL],"NE",0)</f>
        <v>REGIONAL 6</v>
      </c>
      <c r="C368" s="4" t="str">
        <f>IFERROR(__xludf.dummyfunction("""COMPUTED_VALUE"""),"ESCOLA MUNICIPAL ALMIRANTE TAMANDARE")</f>
        <v>ESCOLA MUNICIPAL ALMIRANTE TAMANDARE</v>
      </c>
      <c r="D368" s="3" t="str">
        <f>IFERROR(__xludf.dummyfunction("""COMPUTED_VALUE"""),"26109328")</f>
        <v>26109328</v>
      </c>
      <c r="E368" s="3" t="str">
        <f>IFERROR(__xludf.dummyfunction("""COMPUTED_VALUE"""),"INFANTIL 5")</f>
        <v>INFANTIL 5</v>
      </c>
      <c r="F368" s="3" t="str">
        <f>IFERROR(__xludf.dummyfunction("""COMPUTED_VALUE"""),"Vespertino/Tarde")</f>
        <v>Vespertino/Tarde</v>
      </c>
      <c r="G368" s="3" t="str">
        <f>IFERROR(__xludf.dummyfunction("""COMPUTED_VALUE"""),"Comum")</f>
        <v>Comum</v>
      </c>
      <c r="H368" s="3" t="str">
        <f>IFERROR(__xludf.dummyfunction("""COMPUTED_VALUE"""),"2")</f>
        <v>2</v>
      </c>
      <c r="I368" s="147" t="str">
        <f>IFERROR(__xludf.dummyfunction("""COMPUTED_VALUE"""),"26022573901")</f>
        <v>26022573901</v>
      </c>
      <c r="J368" s="3" t="str">
        <f>IFERROR(__xludf.dummyfunction("""COMPUTED_VALUE"""),"26/02/2026 13:57:57")</f>
        <v>26/02/2026 13:57:57</v>
      </c>
      <c r="K368" s="3" t="str">
        <f>IFERROR(__xludf.dummyfunction("""COMPUTED_VALUE"""),"AYLLAHADASSAGOMESDASILVA")</f>
        <v>AYLLAHADASSAGOMESDASILVA</v>
      </c>
      <c r="L368" s="146" t="str">
        <f>IFERROR(__xludf.dummyfunction("""COMPUTED_VALUE"""),"183.304.394-45")</f>
        <v>183.304.394-45</v>
      </c>
      <c r="M368" s="146" t="str">
        <f>IFERROR(__xludf.dummyfunction("""COMPUTED_VALUE"""),"01/01/2021")</f>
        <v>01/01/2021</v>
      </c>
      <c r="N368" s="3"/>
      <c r="O368" s="3" t="str">
        <f>IFERROR(__xludf.dummyfunction("""COMPUTED_VALUE"""),"0")</f>
        <v>0</v>
      </c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hidden="1" customHeight="1" spans="1:29">
      <c r="A369" s="3"/>
      <c r="B369" s="3" t="str">
        <f t="array" ref="B369">_xlfn.XLOOKUP(D369,Tabela_Dados_Esc_JAB_2026[INEP],Tabela_Dados_Esc_JAB_2026[REGIONAL],"NE",0)</f>
        <v>REGIONAL 6</v>
      </c>
      <c r="C369" s="4" t="str">
        <f>IFERROR(__xludf.dummyfunction("""COMPUTED_VALUE"""),"ESCOLA MUNICIPAL ALMIRANTE TAMANDARE")</f>
        <v>ESCOLA MUNICIPAL ALMIRANTE TAMANDARE</v>
      </c>
      <c r="D369" s="3" t="str">
        <f>IFERROR(__xludf.dummyfunction("""COMPUTED_VALUE"""),"26109328")</f>
        <v>26109328</v>
      </c>
      <c r="E369" s="3" t="str">
        <f>IFERROR(__xludf.dummyfunction("""COMPUTED_VALUE"""),"INFANTIL 5")</f>
        <v>INFANTIL 5</v>
      </c>
      <c r="F369" s="3" t="str">
        <f>IFERROR(__xludf.dummyfunction("""COMPUTED_VALUE"""),"Vespertino/Tarde")</f>
        <v>Vespertino/Tarde</v>
      </c>
      <c r="G369" s="3" t="str">
        <f>IFERROR(__xludf.dummyfunction("""COMPUTED_VALUE"""),"Comum")</f>
        <v>Comum</v>
      </c>
      <c r="H369" s="3" t="str">
        <f>IFERROR(__xludf.dummyfunction("""COMPUTED_VALUE"""),"3")</f>
        <v>3</v>
      </c>
      <c r="I369" s="147" t="str">
        <f>IFERROR(__xludf.dummyfunction("""COMPUTED_VALUE"""),"26052111146")</f>
        <v>26052111146</v>
      </c>
      <c r="J369" s="3" t="str">
        <f>IFERROR(__xludf.dummyfunction("""COMPUTED_VALUE"""),"06/05/2026 08:39:09")</f>
        <v>06/05/2026 08:39:09</v>
      </c>
      <c r="K369" s="3" t="str">
        <f>IFERROR(__xludf.dummyfunction("""COMPUTED_VALUE"""),"GABRIELA EMANUELY LEITE SANTOS")</f>
        <v>GABRIELA EMANUELY LEITE SANTOS</v>
      </c>
      <c r="L369" s="146" t="str">
        <f>IFERROR(__xludf.dummyfunction("""COMPUTED_VALUE"""),"122.198.115-30")</f>
        <v>122.198.115-30</v>
      </c>
      <c r="M369" s="146" t="str">
        <f>IFERROR(__xludf.dummyfunction("""COMPUTED_VALUE"""),"31/10/2020")</f>
        <v>31/10/2020</v>
      </c>
      <c r="N369" s="3"/>
      <c r="O369" s="3" t="str">
        <f>IFERROR(__xludf.dummyfunction("""COMPUTED_VALUE"""),"0")</f>
        <v>0</v>
      </c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hidden="1" customHeight="1" spans="1:29">
      <c r="A370" s="3"/>
      <c r="B370" s="3" t="str">
        <f t="array" ref="B370">_xlfn.XLOOKUP(D370,Tabela_Dados_Esc_JAB_2026[INEP],Tabela_Dados_Esc_JAB_2026[REGIONAL],"NE",0)</f>
        <v>REGIONAL 5</v>
      </c>
      <c r="C370" s="4" t="str">
        <f>IFERROR(__xludf.dummyfunction("""COMPUTED_VALUE"""),"ESCOLA MUNICIPAL CHICO MENDES")</f>
        <v>ESCOLA MUNICIPAL CHICO MENDES</v>
      </c>
      <c r="D370" s="3" t="str">
        <f>IFERROR(__xludf.dummyfunction("""COMPUTED_VALUE"""),"26109689")</f>
        <v>26109689</v>
      </c>
      <c r="E370" s="3" t="str">
        <f>IFERROR(__xludf.dummyfunction("""COMPUTED_VALUE"""),"INFANTIL 5")</f>
        <v>INFANTIL 5</v>
      </c>
      <c r="F370" s="3" t="str">
        <f>IFERROR(__xludf.dummyfunction("""COMPUTED_VALUE"""),"Vespertino/Tarde")</f>
        <v>Vespertino/Tarde</v>
      </c>
      <c r="G370" s="3" t="str">
        <f>IFERROR(__xludf.dummyfunction("""COMPUTED_VALUE"""),"Comum")</f>
        <v>Comum</v>
      </c>
      <c r="H370" s="3" t="str">
        <f>IFERROR(__xludf.dummyfunction("""COMPUTED_VALUE"""),"1")</f>
        <v>1</v>
      </c>
      <c r="I370" s="147" t="str">
        <f>IFERROR(__xludf.dummyfunction("""COMPUTED_VALUE"""),"26092741907")</f>
        <v>26092741907</v>
      </c>
      <c r="J370" s="3" t="str">
        <f>IFERROR(__xludf.dummyfunction("""COMPUTED_VALUE"""),"21/09/2026 08:25:52")</f>
        <v>21/09/2026 08:25:52</v>
      </c>
      <c r="K370" s="3" t="str">
        <f>IFERROR(__xludf.dummyfunction("""COMPUTED_VALUE"""),"Drielle Alves Santana")</f>
        <v>Drielle Alves Santana</v>
      </c>
      <c r="L370" s="146" t="str">
        <f>IFERROR(__xludf.dummyfunction("""COMPUTED_VALUE"""),"172.241.824-94")</f>
        <v>172.241.824-94</v>
      </c>
      <c r="M370" s="146" t="str">
        <f>IFERROR(__xludf.dummyfunction("""COMPUTED_VALUE"""),"05/06/2020")</f>
        <v>05/06/2020</v>
      </c>
      <c r="N370" s="3"/>
      <c r="O370" s="3" t="str">
        <f>IFERROR(__xludf.dummyfunction("""COMPUTED_VALUE"""),"0")</f>
        <v>0</v>
      </c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 spans="1:29">
      <c r="A371" s="3"/>
      <c r="B371" s="3" t="str">
        <f t="array" ref="B371">_xlfn.XLOOKUP(D371,Tabela_Dados_Esc_JAB_2026[INEP],Tabela_Dados_Esc_JAB_2026[REGIONAL],"NE",0)</f>
        <v>REGIONAL 2</v>
      </c>
      <c r="C371" s="4" t="str">
        <f>IFERROR(__xludf.dummyfunction("""COMPUTED_VALUE"""),"ESCOLA MUNICIPAL D EMERY CARNEIRO")</f>
        <v>ESCOLA MUNICIPAL D EMERY CARNEIRO</v>
      </c>
      <c r="D371" s="3" t="str">
        <f>IFERROR(__xludf.dummyfunction("""COMPUTED_VALUE"""),"26110334")</f>
        <v>26110334</v>
      </c>
      <c r="E371" s="3" t="str">
        <f>IFERROR(__xludf.dummyfunction("""COMPUTED_VALUE"""),"INFANTIL 4")</f>
        <v>INFANTIL 4</v>
      </c>
      <c r="F371" s="3" t="str">
        <f>IFERROR(__xludf.dummyfunction("""COMPUTED_VALUE"""),"Vespertino/Tarde")</f>
        <v>Vespertino/Tarde</v>
      </c>
      <c r="G371" s="3" t="str">
        <f>IFERROR(__xludf.dummyfunction("""COMPUTED_VALUE"""),"Comum")</f>
        <v>Comum</v>
      </c>
      <c r="H371" s="3" t="str">
        <f>IFERROR(__xludf.dummyfunction("""COMPUTED_VALUE"""),"1")</f>
        <v>1</v>
      </c>
      <c r="I371" s="145" t="str">
        <f>IFERROR(__xludf.dummyfunction("""COMPUTED_VALUE"""),"26052808259")</f>
        <v>26052808259</v>
      </c>
      <c r="J371" s="3" t="str">
        <f>IFERROR(__xludf.dummyfunction("""COMPUTED_VALUE"""),"13/05/2026 15:16:04")</f>
        <v>13/05/2026 15:16:04</v>
      </c>
      <c r="K371" s="3" t="str">
        <f>IFERROR(__xludf.dummyfunction("""COMPUTED_VALUE"""),"PEDRO HENRIQUE FERREIRA DA SILVA")</f>
        <v>PEDRO HENRIQUE FERREIRA DA SILVA</v>
      </c>
      <c r="L371" s="146" t="str">
        <f>IFERROR(__xludf.dummyfunction("""COMPUTED_VALUE"""),"180.894.584-08")</f>
        <v>180.894.584-08</v>
      </c>
      <c r="M371" s="146" t="str">
        <f>IFERROR(__xludf.dummyfunction("""COMPUTED_VALUE"""),"18/03/2022")</f>
        <v>18/03/2022</v>
      </c>
      <c r="N371" s="3"/>
      <c r="O371" s="3" t="str">
        <f>IFERROR(__xludf.dummyfunction("""COMPUTED_VALUE"""),"0")</f>
        <v>0</v>
      </c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 spans="1:29">
      <c r="A372" s="3"/>
      <c r="B372" s="3" t="str">
        <f t="array" ref="B372">_xlfn.XLOOKUP(D372,Tabela_Dados_Esc_JAB_2026[INEP],Tabela_Dados_Esc_JAB_2026[REGIONAL],"NE",0)</f>
        <v>REGIONAL 2</v>
      </c>
      <c r="C372" s="4" t="str">
        <f>IFERROR(__xludf.dummyfunction("""COMPUTED_VALUE"""),"ESCOLA MUNICIPAL D EMERY CARNEIRO")</f>
        <v>ESCOLA MUNICIPAL D EMERY CARNEIRO</v>
      </c>
      <c r="D372" s="3" t="str">
        <f>IFERROR(__xludf.dummyfunction("""COMPUTED_VALUE"""),"26110334")</f>
        <v>26110334</v>
      </c>
      <c r="E372" s="3" t="str">
        <f>IFERROR(__xludf.dummyfunction("""COMPUTED_VALUE"""),"INFANTIL 5")</f>
        <v>INFANTIL 5</v>
      </c>
      <c r="F372" s="3" t="str">
        <f>IFERROR(__xludf.dummyfunction("""COMPUTED_VALUE"""),"Vespertino/Tarde")</f>
        <v>Vespertino/Tarde</v>
      </c>
      <c r="G372" s="3" t="str">
        <f>IFERROR(__xludf.dummyfunction("""COMPUTED_VALUE"""),"Comum")</f>
        <v>Comum</v>
      </c>
      <c r="H372" s="3" t="str">
        <f>IFERROR(__xludf.dummyfunction("""COMPUTED_VALUE"""),"1")</f>
        <v>1</v>
      </c>
      <c r="I372" s="145" t="str">
        <f>IFERROR(__xludf.dummyfunction("""COMPUTED_VALUE"""),"26092084892")</f>
        <v>26092084892</v>
      </c>
      <c r="J372" s="3" t="str">
        <f>IFERROR(__xludf.dummyfunction("""COMPUTED_VALUE"""),"15/09/2026 12:42:58")</f>
        <v>15/09/2026 12:42:58</v>
      </c>
      <c r="K372" s="3" t="str">
        <f>IFERROR(__xludf.dummyfunction("""COMPUTED_VALUE"""),"Eduarda Beatriz Cavalcante Lopes")</f>
        <v>Eduarda Beatriz Cavalcante Lopes</v>
      </c>
      <c r="L372" s="146" t="str">
        <f>IFERROR(__xludf.dummyfunction("""COMPUTED_VALUE"""),"172.139.274-26")</f>
        <v>172.139.274-26</v>
      </c>
      <c r="M372" s="146" t="str">
        <f>IFERROR(__xludf.dummyfunction("""COMPUTED_VALUE"""),"02/06/2020")</f>
        <v>02/06/2020</v>
      </c>
      <c r="N372" s="3"/>
      <c r="O372" s="3" t="str">
        <f>IFERROR(__xludf.dummyfunction("""COMPUTED_VALUE"""),"0")</f>
        <v>0</v>
      </c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 spans="1:29">
      <c r="A373" s="3"/>
      <c r="B373" s="3" t="str">
        <f t="array" ref="B373">_xlfn.XLOOKUP(D373,Tabela_Dados_Esc_JAB_2026[INEP],Tabela_Dados_Esc_JAB_2026[REGIONAL],"NE",0)</f>
        <v>REGIONAL 2</v>
      </c>
      <c r="C373" s="4" t="str">
        <f>IFERROR(__xludf.dummyfunction("""COMPUTED_VALUE"""),"ESCOLA MUNICIPAL DAVINO TENORIO")</f>
        <v>ESCOLA MUNICIPAL DAVINO TENORIO</v>
      </c>
      <c r="D373" s="3" t="str">
        <f>IFERROR(__xludf.dummyfunction("""COMPUTED_VALUE"""),"26110156")</f>
        <v>26110156</v>
      </c>
      <c r="E373" s="3" t="str">
        <f>IFERROR(__xludf.dummyfunction("""COMPUTED_VALUE"""),"INFANTIL 4")</f>
        <v>INFANTIL 4</v>
      </c>
      <c r="F373" s="3" t="str">
        <f>IFERROR(__xludf.dummyfunction("""COMPUTED_VALUE"""),"Vespertino/Tarde")</f>
        <v>Vespertino/Tarde</v>
      </c>
      <c r="G373" s="3" t="str">
        <f>IFERROR(__xludf.dummyfunction("""COMPUTED_VALUE"""),"Comum")</f>
        <v>Comum</v>
      </c>
      <c r="H373" s="3" t="str">
        <f>IFERROR(__xludf.dummyfunction("""COMPUTED_VALUE"""),"1")</f>
        <v>1</v>
      </c>
      <c r="I373" s="145" t="str">
        <f>IFERROR(__xludf.dummyfunction("""COMPUTED_VALUE"""),"26022028644")</f>
        <v>26022028644</v>
      </c>
      <c r="J373" s="3" t="str">
        <f>IFERROR(__xludf.dummyfunction("""COMPUTED_VALUE"""),"28/02/2026 09:06:10")</f>
        <v>28/02/2026 09:06:10</v>
      </c>
      <c r="K373" s="3" t="str">
        <f>IFERROR(__xludf.dummyfunction("""COMPUTED_VALUE"""),"THEO VICTOR SOARES DA SILVA")</f>
        <v>THEO VICTOR SOARES DA SILVA</v>
      </c>
      <c r="L373" s="146" t="str">
        <f>IFERROR(__xludf.dummyfunction("""COMPUTED_VALUE"""),"178.694.054-00")</f>
        <v>178.694.054-00</v>
      </c>
      <c r="M373" s="146" t="str">
        <f>IFERROR(__xludf.dummyfunction("""COMPUTED_VALUE"""),"12/09/2021")</f>
        <v>12/09/2021</v>
      </c>
      <c r="N373" s="3"/>
      <c r="O373" s="3" t="str">
        <f>IFERROR(__xludf.dummyfunction("""COMPUTED_VALUE"""),"0")</f>
        <v>0</v>
      </c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 spans="1:29">
      <c r="A374" s="3"/>
      <c r="B374" s="3" t="str">
        <f t="array" ref="B374">_xlfn.XLOOKUP(D374,Tabela_Dados_Esc_JAB_2026[INEP],Tabela_Dados_Esc_JAB_2026[REGIONAL],"NE",0)</f>
        <v>REGIONAL 2</v>
      </c>
      <c r="C374" s="4" t="str">
        <f>IFERROR(__xludf.dummyfunction("""COMPUTED_VALUE"""),"ESCOLA MUNICIPAL DAVINO TENORIO")</f>
        <v>ESCOLA MUNICIPAL DAVINO TENORIO</v>
      </c>
      <c r="D374" s="3" t="str">
        <f>IFERROR(__xludf.dummyfunction("""COMPUTED_VALUE"""),"26110156")</f>
        <v>26110156</v>
      </c>
      <c r="E374" s="3" t="str">
        <f>IFERROR(__xludf.dummyfunction("""COMPUTED_VALUE"""),"INFANTIL 4")</f>
        <v>INFANTIL 4</v>
      </c>
      <c r="F374" s="3" t="str">
        <f>IFERROR(__xludf.dummyfunction("""COMPUTED_VALUE"""),"Vespertino/Tarde")</f>
        <v>Vespertino/Tarde</v>
      </c>
      <c r="G374" s="3" t="str">
        <f>IFERROR(__xludf.dummyfunction("""COMPUTED_VALUE"""),"Comum")</f>
        <v>Comum</v>
      </c>
      <c r="H374" s="3" t="str">
        <f>IFERROR(__xludf.dummyfunction("""COMPUTED_VALUE"""),"2")</f>
        <v>2</v>
      </c>
      <c r="I374" s="145" t="str">
        <f>IFERROR(__xludf.dummyfunction("""COMPUTED_VALUE"""),"26042217151")</f>
        <v>26042217151</v>
      </c>
      <c r="J374" s="3" t="str">
        <f>IFERROR(__xludf.dummyfunction("""COMPUTED_VALUE"""),"22/04/2026 12:05:06")</f>
        <v>22/04/2026 12:05:06</v>
      </c>
      <c r="K374" s="3" t="str">
        <f>IFERROR(__xludf.dummyfunction("""COMPUTED_VALUE"""),"HENRY MIGUEL FAUSTINO")</f>
        <v>HENRY MIGUEL FAUSTINO</v>
      </c>
      <c r="L374" s="146" t="str">
        <f>IFERROR(__xludf.dummyfunction("""COMPUTED_VALUE"""),"180.558.524-05")</f>
        <v>180.558.524-05</v>
      </c>
      <c r="M374" s="146" t="str">
        <f>IFERROR(__xludf.dummyfunction("""COMPUTED_VALUE"""),"25/01/2022")</f>
        <v>25/01/2022</v>
      </c>
      <c r="N374" s="3"/>
      <c r="O374" s="3" t="str">
        <f>IFERROR(__xludf.dummyfunction("""COMPUTED_VALUE"""),"0")</f>
        <v>0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 spans="1:29">
      <c r="A375" s="3"/>
      <c r="B375" s="3" t="str">
        <f t="array" ref="B375">_xlfn.XLOOKUP(D375,Tabela_Dados_Esc_JAB_2026[INEP],Tabela_Dados_Esc_JAB_2026[REGIONAL],"NE",0)</f>
        <v>REGIONAL 2</v>
      </c>
      <c r="C375" s="4" t="str">
        <f>IFERROR(__xludf.dummyfunction("""COMPUTED_VALUE"""),"ESCOLA MUNICIPAL DAVINO TENORIO")</f>
        <v>ESCOLA MUNICIPAL DAVINO TENORIO</v>
      </c>
      <c r="D375" s="3" t="str">
        <f>IFERROR(__xludf.dummyfunction("""COMPUTED_VALUE"""),"26110156")</f>
        <v>26110156</v>
      </c>
      <c r="E375" s="3" t="str">
        <f>IFERROR(__xludf.dummyfunction("""COMPUTED_VALUE"""),"INFANTIL 4")</f>
        <v>INFANTIL 4</v>
      </c>
      <c r="F375" s="3" t="str">
        <f>IFERROR(__xludf.dummyfunction("""COMPUTED_VALUE"""),"Vespertino/Tarde")</f>
        <v>Vespertino/Tarde</v>
      </c>
      <c r="G375" s="3" t="str">
        <f>IFERROR(__xludf.dummyfunction("""COMPUTED_VALUE"""),"Comum")</f>
        <v>Comum</v>
      </c>
      <c r="H375" s="3" t="str">
        <f>IFERROR(__xludf.dummyfunction("""COMPUTED_VALUE"""),"3")</f>
        <v>3</v>
      </c>
      <c r="I375" s="147" t="str">
        <f>IFERROR(__xludf.dummyfunction("""COMPUTED_VALUE"""),"26062769227")</f>
        <v>26062769227</v>
      </c>
      <c r="J375" s="3" t="str">
        <f>IFERROR(__xludf.dummyfunction("""COMPUTED_VALUE"""),"09/06/2026 15:50:31")</f>
        <v>09/06/2026 15:50:31</v>
      </c>
      <c r="K375" s="3" t="str">
        <f>IFERROR(__xludf.dummyfunction("""COMPUTED_VALUE"""),"Luan")</f>
        <v>Luan</v>
      </c>
      <c r="L375" s="146" t="str">
        <f>IFERROR(__xludf.dummyfunction("""COMPUTED_VALUE"""),"181.497.414-88")</f>
        <v>181.497.414-88</v>
      </c>
      <c r="M375" s="146" t="str">
        <f>IFERROR(__xludf.dummyfunction("""COMPUTED_VALUE"""),"06/01/2022")</f>
        <v>06/01/2022</v>
      </c>
      <c r="N375" s="3"/>
      <c r="O375" s="3" t="str">
        <f>IFERROR(__xludf.dummyfunction("""COMPUTED_VALUE"""),"0")</f>
        <v>0</v>
      </c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 spans="1:29">
      <c r="A376" s="3"/>
      <c r="B376" s="3" t="str">
        <f t="array" ref="B376">_xlfn.XLOOKUP(D376,Tabela_Dados_Esc_JAB_2026[INEP],Tabela_Dados_Esc_JAB_2026[REGIONAL],"NE",0)</f>
        <v>REGIONAL 2</v>
      </c>
      <c r="C376" s="4" t="str">
        <f>IFERROR(__xludf.dummyfunction("""COMPUTED_VALUE"""),"ESCOLA MUNICIPAL DAVINO TENORIO")</f>
        <v>ESCOLA MUNICIPAL DAVINO TENORIO</v>
      </c>
      <c r="D376" s="3" t="str">
        <f>IFERROR(__xludf.dummyfunction("""COMPUTED_VALUE"""),"26110156")</f>
        <v>26110156</v>
      </c>
      <c r="E376" s="3" t="str">
        <f>IFERROR(__xludf.dummyfunction("""COMPUTED_VALUE"""),"INFANTIL 5")</f>
        <v>INFANTIL 5</v>
      </c>
      <c r="F376" s="3" t="str">
        <f>IFERROR(__xludf.dummyfunction("""COMPUTED_VALUE"""),"Matutino/Manhã")</f>
        <v>Matutino/Manhã</v>
      </c>
      <c r="G376" s="3" t="str">
        <f>IFERROR(__xludf.dummyfunction("""COMPUTED_VALUE"""),"Comum")</f>
        <v>Comum</v>
      </c>
      <c r="H376" s="3" t="str">
        <f>IFERROR(__xludf.dummyfunction("""COMPUTED_VALUE"""),"1")</f>
        <v>1</v>
      </c>
      <c r="I376" s="147" t="str">
        <f>IFERROR(__xludf.dummyfunction("""COMPUTED_VALUE"""),"26072910844")</f>
        <v>26072910844</v>
      </c>
      <c r="J376" s="3" t="str">
        <f>IFERROR(__xludf.dummyfunction("""COMPUTED_VALUE"""),"15/07/2026 09:23:50")</f>
        <v>15/07/2026 09:23:50</v>
      </c>
      <c r="K376" s="3" t="str">
        <f>IFERROR(__xludf.dummyfunction("""COMPUTED_VALUE"""),"MAYA CECÍLIA DA SILVA OLIVEIRA")</f>
        <v>MAYA CECÍLIA DA SILVA OLIVEIRA</v>
      </c>
      <c r="L376" s="146" t="str">
        <f>IFERROR(__xludf.dummyfunction("""COMPUTED_VALUE"""),"177.486.304-96")</f>
        <v>177.486.304-96</v>
      </c>
      <c r="M376" s="146" t="str">
        <f>IFERROR(__xludf.dummyfunction("""COMPUTED_VALUE"""),"23/12/2020")</f>
        <v>23/12/2020</v>
      </c>
      <c r="N376" s="3"/>
      <c r="O376" s="3" t="str">
        <f>IFERROR(__xludf.dummyfunction("""COMPUTED_VALUE"""),"0")</f>
        <v>0</v>
      </c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 spans="1:29">
      <c r="A377" s="3"/>
      <c r="B377" s="3" t="str">
        <f t="array" ref="B377">_xlfn.XLOOKUP(D377,Tabela_Dados_Esc_JAB_2026[INEP],Tabela_Dados_Esc_JAB_2026[REGIONAL],"NE",0)</f>
        <v>REGIONAL 2</v>
      </c>
      <c r="C377" s="4" t="str">
        <f>IFERROR(__xludf.dummyfunction("""COMPUTED_VALUE"""),"ESCOLA MUNICIPAL DAVINO TENORIO")</f>
        <v>ESCOLA MUNICIPAL DAVINO TENORIO</v>
      </c>
      <c r="D377" s="3" t="str">
        <f>IFERROR(__xludf.dummyfunction("""COMPUTED_VALUE"""),"26110156")</f>
        <v>26110156</v>
      </c>
      <c r="E377" s="3" t="str">
        <f>IFERROR(__xludf.dummyfunction("""COMPUTED_VALUE"""),"INFANTIL 5")</f>
        <v>INFANTIL 5</v>
      </c>
      <c r="F377" s="3" t="str">
        <f>IFERROR(__xludf.dummyfunction("""COMPUTED_VALUE"""),"Matutino/Manhã")</f>
        <v>Matutino/Manhã</v>
      </c>
      <c r="G377" s="3" t="str">
        <f>IFERROR(__xludf.dummyfunction("""COMPUTED_VALUE"""),"Comum")</f>
        <v>Comum</v>
      </c>
      <c r="H377" s="3" t="str">
        <f>IFERROR(__xludf.dummyfunction("""COMPUTED_VALUE"""),"2")</f>
        <v>2</v>
      </c>
      <c r="I377" s="147" t="str">
        <f>IFERROR(__xludf.dummyfunction("""COMPUTED_VALUE"""),"26092389633")</f>
        <v>26092389633</v>
      </c>
      <c r="J377" s="3" t="str">
        <f>IFERROR(__xludf.dummyfunction("""COMPUTED_VALUE"""),"21/09/2026 10:49:57")</f>
        <v>21/09/2026 10:49:57</v>
      </c>
      <c r="K377" s="3" t="str">
        <f>IFERROR(__xludf.dummyfunction("""COMPUTED_VALUE"""),"Jacoob Hallaryck de moura Matias")</f>
        <v>Jacoob Hallaryck de moura Matias</v>
      </c>
      <c r="L377" s="146" t="str">
        <f>IFERROR(__xludf.dummyfunction("""COMPUTED_VALUE"""),"174.340.074-86")</f>
        <v>174.340.074-86</v>
      </c>
      <c r="M377" s="146" t="str">
        <f>IFERROR(__xludf.dummyfunction("""COMPUTED_VALUE"""),"26/11/2020")</f>
        <v>26/11/2020</v>
      </c>
      <c r="N377" s="3"/>
      <c r="O377" s="3" t="str">
        <f>IFERROR(__xludf.dummyfunction("""COMPUTED_VALUE"""),"0")</f>
        <v>0</v>
      </c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hidden="1" customHeight="1" spans="1:29">
      <c r="A378" s="3"/>
      <c r="B378" s="3" t="str">
        <f t="array" ref="B378">_xlfn.XLOOKUP(D378,Tabela_Dados_Esc_JAB_2026[INEP],Tabela_Dados_Esc_JAB_2026[REGIONAL],"NE",0)</f>
        <v>REGIONAL 1</v>
      </c>
      <c r="C378" s="4" t="str">
        <f>IFERROR(__xludf.dummyfunction("""COMPUTED_VALUE"""),"ESCOLA MUNICIPAL DOM BOSCO")</f>
        <v>ESCOLA MUNICIPAL DOM BOSCO</v>
      </c>
      <c r="D378" s="3" t="str">
        <f>IFERROR(__xludf.dummyfunction("""COMPUTED_VALUE"""),"26108496")</f>
        <v>26108496</v>
      </c>
      <c r="E378" s="3" t="str">
        <f>IFERROR(__xludf.dummyfunction("""COMPUTED_VALUE"""),"INFANTIL 4")</f>
        <v>INFANTIL 4</v>
      </c>
      <c r="F378" s="3" t="str">
        <f>IFERROR(__xludf.dummyfunction("""COMPUTED_VALUE"""),"Matutino/Manhã")</f>
        <v>Matutino/Manhã</v>
      </c>
      <c r="G378" s="3" t="str">
        <f>IFERROR(__xludf.dummyfunction("""COMPUTED_VALUE"""),"Comum")</f>
        <v>Comum</v>
      </c>
      <c r="H378" s="3" t="str">
        <f>IFERROR(__xludf.dummyfunction("""COMPUTED_VALUE"""),"1")</f>
        <v>1</v>
      </c>
      <c r="I378" s="147" t="str">
        <f>IFERROR(__xludf.dummyfunction("""COMPUTED_VALUE"""),"26072780368")</f>
        <v>26072780368</v>
      </c>
      <c r="J378" s="3" t="str">
        <f>IFERROR(__xludf.dummyfunction("""COMPUTED_VALUE"""),"08/07/2026 14:38:20")</f>
        <v>08/07/2026 14:38:20</v>
      </c>
      <c r="K378" s="3" t="str">
        <f>IFERROR(__xludf.dummyfunction("""COMPUTED_VALUE"""),"EMILLY CECYLLIA HERCULANO DOS SANTOS")</f>
        <v>EMILLY CECYLLIA HERCULANO DOS SANTOS</v>
      </c>
      <c r="L378" s="146" t="str">
        <f>IFERROR(__xludf.dummyfunction("""COMPUTED_VALUE"""),"178.211.094-10")</f>
        <v>178.211.094-10</v>
      </c>
      <c r="M378" s="146" t="str">
        <f>IFERROR(__xludf.dummyfunction("""COMPUTED_VALUE"""),"26/08/2021")</f>
        <v>26/08/2021</v>
      </c>
      <c r="N378" s="3"/>
      <c r="O378" s="3" t="str">
        <f>IFERROR(__xludf.dummyfunction("""COMPUTED_VALUE"""),"0")</f>
        <v>0</v>
      </c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hidden="1" customHeight="1" spans="1:29">
      <c r="A379" s="3"/>
      <c r="B379" s="3" t="str">
        <f t="array" ref="B379">_xlfn.XLOOKUP(D379,Tabela_Dados_Esc_JAB_2026[INEP],Tabela_Dados_Esc_JAB_2026[REGIONAL],"NE",0)</f>
        <v>REGIONAL 1</v>
      </c>
      <c r="C379" s="4" t="str">
        <f>IFERROR(__xludf.dummyfunction("""COMPUTED_VALUE"""),"ESCOLA MUNICIPAL DOUTOR MAURÍCIO MARTINS DE ALBUQUERQUE")</f>
        <v>ESCOLA MUNICIPAL DOUTOR MAURÍCIO MARTINS DE ALBUQUERQUE</v>
      </c>
      <c r="D379" s="3" t="str">
        <f>IFERROR(__xludf.dummyfunction("""COMPUTED_VALUE"""),"26109026")</f>
        <v>26109026</v>
      </c>
      <c r="E379" s="3" t="str">
        <f>IFERROR(__xludf.dummyfunction("""COMPUTED_VALUE"""),"INFANTIL 4")</f>
        <v>INFANTIL 4</v>
      </c>
      <c r="F379" s="3" t="str">
        <f>IFERROR(__xludf.dummyfunction("""COMPUTED_VALUE"""),"Matutino/Manhã")</f>
        <v>Matutino/Manhã</v>
      </c>
      <c r="G379" s="3" t="str">
        <f>IFERROR(__xludf.dummyfunction("""COMPUTED_VALUE"""),"Comum")</f>
        <v>Comum</v>
      </c>
      <c r="H379" s="3" t="str">
        <f>IFERROR(__xludf.dummyfunction("""COMPUTED_VALUE"""),"1")</f>
        <v>1</v>
      </c>
      <c r="I379" s="145" t="str">
        <f>IFERROR(__xludf.dummyfunction("""COMPUTED_VALUE"""),"26072954403")</f>
        <v>26072954403</v>
      </c>
      <c r="J379" s="3" t="str">
        <f>IFERROR(__xludf.dummyfunction("""COMPUTED_VALUE"""),"02/07/2026 20:53:18")</f>
        <v>02/07/2026 20:53:18</v>
      </c>
      <c r="K379" s="3" t="str">
        <f>IFERROR(__xludf.dummyfunction("""COMPUTED_VALUE"""),"DAVI HENRIQUE TORRES LUNA")</f>
        <v>DAVI HENRIQUE TORRES LUNA</v>
      </c>
      <c r="L379" s="146" t="str">
        <f>IFERROR(__xludf.dummyfunction("""COMPUTED_VALUE"""),"179.490.344-59")</f>
        <v>179.490.344-59</v>
      </c>
      <c r="M379" s="146" t="str">
        <f>IFERROR(__xludf.dummyfunction("""COMPUTED_VALUE"""),"13/12/2021")</f>
        <v>13/12/2021</v>
      </c>
      <c r="N379" s="3"/>
      <c r="O379" s="3" t="str">
        <f>IFERROR(__xludf.dummyfunction("""COMPUTED_VALUE"""),"0")</f>
        <v>0</v>
      </c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hidden="1" customHeight="1" spans="1:29">
      <c r="A380" s="3"/>
      <c r="B380" s="3" t="str">
        <f t="array" ref="B380">_xlfn.XLOOKUP(D380,Tabela_Dados_Esc_JAB_2026[INEP],Tabela_Dados_Esc_JAB_2026[REGIONAL],"NE",0)</f>
        <v>REGIONAL 1</v>
      </c>
      <c r="C380" s="4" t="str">
        <f>IFERROR(__xludf.dummyfunction("""COMPUTED_VALUE"""),"ESCOLA MUNICIPAL DOUTOR MAURÍCIO MARTINS DE ALBUQUERQUE")</f>
        <v>ESCOLA MUNICIPAL DOUTOR MAURÍCIO MARTINS DE ALBUQUERQUE</v>
      </c>
      <c r="D380" s="3" t="str">
        <f>IFERROR(__xludf.dummyfunction("""COMPUTED_VALUE"""),"26109026")</f>
        <v>26109026</v>
      </c>
      <c r="E380" s="3" t="str">
        <f>IFERROR(__xludf.dummyfunction("""COMPUTED_VALUE"""),"INFANTIL 5")</f>
        <v>INFANTIL 5</v>
      </c>
      <c r="F380" s="3" t="str">
        <f>IFERROR(__xludf.dummyfunction("""COMPUTED_VALUE"""),"Vespertino/Tarde")</f>
        <v>Vespertino/Tarde</v>
      </c>
      <c r="G380" s="3" t="str">
        <f>IFERROR(__xludf.dummyfunction("""COMPUTED_VALUE"""),"Comum")</f>
        <v>Comum</v>
      </c>
      <c r="H380" s="3" t="str">
        <f>IFERROR(__xludf.dummyfunction("""COMPUTED_VALUE"""),"1")</f>
        <v>1</v>
      </c>
      <c r="I380" s="145" t="str">
        <f>IFERROR(__xludf.dummyfunction("""COMPUTED_VALUE"""),"26032440829")</f>
        <v>26032440829</v>
      </c>
      <c r="J380" s="3" t="str">
        <f>IFERROR(__xludf.dummyfunction("""COMPUTED_VALUE"""),"05/03/2026 10:57:10")</f>
        <v>05/03/2026 10:57:10</v>
      </c>
      <c r="K380" s="3" t="str">
        <f>IFERROR(__xludf.dummyfunction("""COMPUTED_VALUE"""),"LETICIA MICAELI SANTOS DA SILVA")</f>
        <v>LETICIA MICAELI SANTOS DA SILVA</v>
      </c>
      <c r="L380" s="146" t="str">
        <f>IFERROR(__xludf.dummyfunction("""COMPUTED_VALUE"""),"176.243.264-18")</f>
        <v>176.243.264-18</v>
      </c>
      <c r="M380" s="146" t="str">
        <f>IFERROR(__xludf.dummyfunction("""COMPUTED_VALUE"""),"19/03/2021")</f>
        <v>19/03/2021</v>
      </c>
      <c r="N380" s="3"/>
      <c r="O380" s="3" t="str">
        <f>IFERROR(__xludf.dummyfunction("""COMPUTED_VALUE"""),"0")</f>
        <v>0</v>
      </c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hidden="1" customHeight="1" spans="1:29">
      <c r="A381" s="3"/>
      <c r="B381" s="3" t="str">
        <f t="array" ref="B381">_xlfn.XLOOKUP(D381,Tabela_Dados_Esc_JAB_2026[INEP],Tabela_Dados_Esc_JAB_2026[REGIONAL],"NE",0)</f>
        <v>REGIONAL 1</v>
      </c>
      <c r="C381" s="4" t="str">
        <f>IFERROR(__xludf.dummyfunction("""COMPUTED_VALUE"""),"ESCOLA MUNICIPAL DR JOSE LEOPOLDINO")</f>
        <v>ESCOLA MUNICIPAL DR JOSE LEOPOLDINO</v>
      </c>
      <c r="D381" s="3" t="str">
        <f>IFERROR(__xludf.dummyfunction("""COMPUTED_VALUE"""),"26110962")</f>
        <v>26110962</v>
      </c>
      <c r="E381" s="3" t="str">
        <f>IFERROR(__xludf.dummyfunction("""COMPUTED_VALUE"""),"INFANTIL 5")</f>
        <v>INFANTIL 5</v>
      </c>
      <c r="F381" s="3" t="str">
        <f>IFERROR(__xludf.dummyfunction("""COMPUTED_VALUE"""),"Vespertino/Tarde")</f>
        <v>Vespertino/Tarde</v>
      </c>
      <c r="G381" s="3" t="str">
        <f>IFERROR(__xludf.dummyfunction("""COMPUTED_VALUE"""),"Comum")</f>
        <v>Comum</v>
      </c>
      <c r="H381" s="3" t="str">
        <f>IFERROR(__xludf.dummyfunction("""COMPUTED_VALUE"""),"1")</f>
        <v>1</v>
      </c>
      <c r="I381" s="145" t="str">
        <f>IFERROR(__xludf.dummyfunction("""COMPUTED_VALUE"""),"26062932359")</f>
        <v>26062932359</v>
      </c>
      <c r="J381" s="3" t="str">
        <f>IFERROR(__xludf.dummyfunction("""COMPUTED_VALUE"""),"02/06/2026 19:20:33")</f>
        <v>02/06/2026 19:20:33</v>
      </c>
      <c r="K381" s="3" t="str">
        <f>IFERROR(__xludf.dummyfunction("""COMPUTED_VALUE"""),"João Yuri belo da silva")</f>
        <v>João Yuri belo da silva</v>
      </c>
      <c r="L381" s="146" t="str">
        <f>IFERROR(__xludf.dummyfunction("""COMPUTED_VALUE"""),"172.142.404-08")</f>
        <v>172.142.404-08</v>
      </c>
      <c r="M381" s="146" t="str">
        <f>IFERROR(__xludf.dummyfunction("""COMPUTED_VALUE"""),"01/06/2020")</f>
        <v>01/06/2020</v>
      </c>
      <c r="N381" s="3"/>
      <c r="O381" s="3" t="str">
        <f>IFERROR(__xludf.dummyfunction("""COMPUTED_VALUE"""),"0")</f>
        <v>0</v>
      </c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 spans="1:29">
      <c r="A382" s="3"/>
      <c r="B382" s="3" t="str">
        <f t="array" ref="B382">_xlfn.XLOOKUP(D382,Tabela_Dados_Esc_JAB_2026[INEP],Tabela_Dados_Esc_JAB_2026[REGIONAL],"NE",0)</f>
        <v>REGIONAL 2</v>
      </c>
      <c r="C382" s="4" t="str">
        <f>IFERROR(__xludf.dummyfunction("""COMPUTED_VALUE"""),"ESCOLA MUNICIPAL DR LUIZ REGUEIRA")</f>
        <v>ESCOLA MUNICIPAL DR LUIZ REGUEIRA</v>
      </c>
      <c r="D382" s="3" t="str">
        <f>IFERROR(__xludf.dummyfunction("""COMPUTED_VALUE"""),"26541734")</f>
        <v>26541734</v>
      </c>
      <c r="E382" s="3" t="str">
        <f>IFERROR(__xludf.dummyfunction("""COMPUTED_VALUE"""),"INFANTIL 4")</f>
        <v>INFANTIL 4</v>
      </c>
      <c r="F382" s="3" t="str">
        <f>IFERROR(__xludf.dummyfunction("""COMPUTED_VALUE"""),"Matutino/Manhã")</f>
        <v>Matutino/Manhã</v>
      </c>
      <c r="G382" s="3" t="str">
        <f>IFERROR(__xludf.dummyfunction("""COMPUTED_VALUE"""),"Comum")</f>
        <v>Comum</v>
      </c>
      <c r="H382" s="3" t="str">
        <f>IFERROR(__xludf.dummyfunction("""COMPUTED_VALUE"""),"1")</f>
        <v>1</v>
      </c>
      <c r="I382" s="145" t="str">
        <f>IFERROR(__xludf.dummyfunction("""COMPUTED_VALUE"""),"26022999479")</f>
        <v>26022999479</v>
      </c>
      <c r="J382" s="3" t="str">
        <f>IFERROR(__xludf.dummyfunction("""COMPUTED_VALUE"""),"05/02/2026 22:30:30")</f>
        <v>05/02/2026 22:30:30</v>
      </c>
      <c r="K382" s="3" t="str">
        <f>IFERROR(__xludf.dummyfunction("""COMPUTED_VALUE"""),"ANA PATRÍCIA DOS SANTOS BARBOSA")</f>
        <v>ANA PATRÍCIA DOS SANTOS BARBOSA</v>
      </c>
      <c r="L382" s="146" t="str">
        <f>IFERROR(__xludf.dummyfunction("""COMPUTED_VALUE"""),"183.574.814-77")</f>
        <v>183.574.814-77</v>
      </c>
      <c r="M382" s="146" t="str">
        <f>IFERROR(__xludf.dummyfunction("""COMPUTED_VALUE"""),"01/04/2021")</f>
        <v>01/04/2021</v>
      </c>
      <c r="N382" s="3"/>
      <c r="O382" s="3" t="str">
        <f>IFERROR(__xludf.dummyfunction("""COMPUTED_VALUE"""),"0")</f>
        <v>0</v>
      </c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 spans="1:29">
      <c r="A383" s="3"/>
      <c r="B383" s="3" t="str">
        <f t="array" ref="B383">_xlfn.XLOOKUP(D383,Tabela_Dados_Esc_JAB_2026[INEP],Tabela_Dados_Esc_JAB_2026[REGIONAL],"NE",0)</f>
        <v>REGIONAL 2</v>
      </c>
      <c r="C383" s="4" t="str">
        <f>IFERROR(__xludf.dummyfunction("""COMPUTED_VALUE"""),"ESCOLA MUNICIPAL DR LUIZ REGUEIRA")</f>
        <v>ESCOLA MUNICIPAL DR LUIZ REGUEIRA</v>
      </c>
      <c r="D383" s="3" t="str">
        <f>IFERROR(__xludf.dummyfunction("""COMPUTED_VALUE"""),"26541734")</f>
        <v>26541734</v>
      </c>
      <c r="E383" s="3" t="str">
        <f>IFERROR(__xludf.dummyfunction("""COMPUTED_VALUE"""),"INFANTIL 4")</f>
        <v>INFANTIL 4</v>
      </c>
      <c r="F383" s="3" t="str">
        <f>IFERROR(__xludf.dummyfunction("""COMPUTED_VALUE"""),"Matutino/Manhã")</f>
        <v>Matutino/Manhã</v>
      </c>
      <c r="G383" s="3" t="str">
        <f>IFERROR(__xludf.dummyfunction("""COMPUTED_VALUE"""),"Comum")</f>
        <v>Comum</v>
      </c>
      <c r="H383" s="3" t="str">
        <f>IFERROR(__xludf.dummyfunction("""COMPUTED_VALUE"""),"2")</f>
        <v>2</v>
      </c>
      <c r="I383" s="145" t="str">
        <f>IFERROR(__xludf.dummyfunction("""COMPUTED_VALUE"""),"26022098436")</f>
        <v>26022098436</v>
      </c>
      <c r="J383" s="3" t="str">
        <f>IFERROR(__xludf.dummyfunction("""COMPUTED_VALUE"""),"06/02/2026 09:49:18")</f>
        <v>06/02/2026 09:49:18</v>
      </c>
      <c r="K383" s="3" t="str">
        <f>IFERROR(__xludf.dummyfunction("""COMPUTED_VALUE"""),"ARYELLE VITÓRIA AMARANTE DE AMORIM")</f>
        <v>ARYELLE VITÓRIA AMARANTE DE AMORIM</v>
      </c>
      <c r="L383" s="146" t="str">
        <f>IFERROR(__xludf.dummyfunction("""COMPUTED_VALUE"""),"178.248.454-00")</f>
        <v>178.248.454-00</v>
      </c>
      <c r="M383" s="146" t="str">
        <f>IFERROR(__xludf.dummyfunction("""COMPUTED_VALUE"""),"18/08/2021")</f>
        <v>18/08/2021</v>
      </c>
      <c r="N383" s="3"/>
      <c r="O383" s="3" t="str">
        <f>IFERROR(__xludf.dummyfunction("""COMPUTED_VALUE"""),"0")</f>
        <v>0</v>
      </c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 spans="1:29">
      <c r="A384" s="3"/>
      <c r="B384" s="3" t="str">
        <f t="array" ref="B384">_xlfn.XLOOKUP(D384,Tabela_Dados_Esc_JAB_2026[INEP],Tabela_Dados_Esc_JAB_2026[REGIONAL],"NE",0)</f>
        <v>REGIONAL 2</v>
      </c>
      <c r="C384" s="4" t="str">
        <f>IFERROR(__xludf.dummyfunction("""COMPUTED_VALUE"""),"ESCOLA MUNICIPAL DR LUIZ REGUEIRA")</f>
        <v>ESCOLA MUNICIPAL DR LUIZ REGUEIRA</v>
      </c>
      <c r="D384" s="3" t="str">
        <f>IFERROR(__xludf.dummyfunction("""COMPUTED_VALUE"""),"26541734")</f>
        <v>26541734</v>
      </c>
      <c r="E384" s="3" t="str">
        <f>IFERROR(__xludf.dummyfunction("""COMPUTED_VALUE"""),"INFANTIL 4")</f>
        <v>INFANTIL 4</v>
      </c>
      <c r="F384" s="3" t="str">
        <f>IFERROR(__xludf.dummyfunction("""COMPUTED_VALUE"""),"Matutino/Manhã")</f>
        <v>Matutino/Manhã</v>
      </c>
      <c r="G384" s="3" t="str">
        <f>IFERROR(__xludf.dummyfunction("""COMPUTED_VALUE"""),"Comum")</f>
        <v>Comum</v>
      </c>
      <c r="H384" s="3" t="str">
        <f>IFERROR(__xludf.dummyfunction("""COMPUTED_VALUE"""),"3")</f>
        <v>3</v>
      </c>
      <c r="I384" s="145" t="str">
        <f>IFERROR(__xludf.dummyfunction("""COMPUTED_VALUE"""),"26092290943")</f>
        <v>26092290943</v>
      </c>
      <c r="J384" s="3" t="str">
        <f>IFERROR(__xludf.dummyfunction("""COMPUTED_VALUE"""),"11/09/2026 21:44:20")</f>
        <v>11/09/2026 21:44:20</v>
      </c>
      <c r="K384" s="3" t="str">
        <f>IFERROR(__xludf.dummyfunction("""COMPUTED_VALUE"""),"Myguel Rafael Lopes Borges")</f>
        <v>Myguel Rafael Lopes Borges</v>
      </c>
      <c r="L384" s="146" t="str">
        <f>IFERROR(__xludf.dummyfunction("""COMPUTED_VALUE"""),"177.518.864-71")</f>
        <v>177.518.864-71</v>
      </c>
      <c r="M384" s="146" t="str">
        <f>IFERROR(__xludf.dummyfunction("""COMPUTED_VALUE"""),"13/07/2021")</f>
        <v>13/07/2021</v>
      </c>
      <c r="N384" s="3"/>
      <c r="O384" s="3" t="str">
        <f>IFERROR(__xludf.dummyfunction("""COMPUTED_VALUE"""),"0")</f>
        <v>0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hidden="1" customHeight="1" spans="1:29">
      <c r="A385" s="3"/>
      <c r="B385" s="3" t="str">
        <f t="array" ref="B385">_xlfn.XLOOKUP(D385,Tabela_Dados_Esc_JAB_2026[INEP],Tabela_Dados_Esc_JAB_2026[REGIONAL],"NE",0)</f>
        <v>REGIONAL 7</v>
      </c>
      <c r="C385" s="4" t="str">
        <f>IFERROR(__xludf.dummyfunction("""COMPUTED_VALUE"""),"ESCOLA MUNICIPAL HENRIQUE DIAS")</f>
        <v>ESCOLA MUNICIPAL HENRIQUE DIAS</v>
      </c>
      <c r="D385" s="3" t="str">
        <f>IFERROR(__xludf.dummyfunction("""COMPUTED_VALUE"""),"26109956")</f>
        <v>26109956</v>
      </c>
      <c r="E385" s="3" t="str">
        <f>IFERROR(__xludf.dummyfunction("""COMPUTED_VALUE"""),"INFANTIL 5")</f>
        <v>INFANTIL 5</v>
      </c>
      <c r="F385" s="3" t="str">
        <f>IFERROR(__xludf.dummyfunction("""COMPUTED_VALUE"""),"Matutino/Manhã")</f>
        <v>Matutino/Manhã</v>
      </c>
      <c r="G385" s="3" t="str">
        <f>IFERROR(__xludf.dummyfunction("""COMPUTED_VALUE"""),"Comum")</f>
        <v>Comum</v>
      </c>
      <c r="H385" s="3" t="str">
        <f>IFERROR(__xludf.dummyfunction("""COMPUTED_VALUE"""),"1")</f>
        <v>1</v>
      </c>
      <c r="I385" s="145" t="str">
        <f>IFERROR(__xludf.dummyfunction("""COMPUTED_VALUE"""),"26082828987")</f>
        <v>26082828987</v>
      </c>
      <c r="J385" s="3" t="str">
        <f>IFERROR(__xludf.dummyfunction("""COMPUTED_VALUE"""),"06/08/2026 08:45:14")</f>
        <v>06/08/2026 08:45:14</v>
      </c>
      <c r="K385" s="3" t="str">
        <f>IFERROR(__xludf.dummyfunction("""COMPUTED_VALUE"""),"Maria vitória Azevedo Neves Caribé")</f>
        <v>Maria vitória Azevedo Neves Caribé</v>
      </c>
      <c r="L385" s="146" t="str">
        <f>IFERROR(__xludf.dummyfunction("""COMPUTED_VALUE"""),"175.879.314-73")</f>
        <v>175.879.314-73</v>
      </c>
      <c r="M385" s="146" t="str">
        <f>IFERROR(__xludf.dummyfunction("""COMPUTED_VALUE"""),"19/02/2021")</f>
        <v>19/02/2021</v>
      </c>
      <c r="N385" s="3"/>
      <c r="O385" s="3" t="str">
        <f>IFERROR(__xludf.dummyfunction("""COMPUTED_VALUE"""),"0")</f>
        <v>0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hidden="1" customHeight="1" spans="1:29">
      <c r="A386" s="3"/>
      <c r="B386" s="3" t="str">
        <f t="array" ref="B386">_xlfn.XLOOKUP(D386,Tabela_Dados_Esc_JAB_2026[INEP],Tabela_Dados_Esc_JAB_2026[REGIONAL],"NE",0)</f>
        <v>REGIONAL 7</v>
      </c>
      <c r="C386" s="4" t="str">
        <f>IFERROR(__xludf.dummyfunction("""COMPUTED_VALUE"""),"ESCOLA MUNICIPAL JESUS DE NAZARÉ")</f>
        <v>ESCOLA MUNICIPAL JESUS DE NAZARÉ</v>
      </c>
      <c r="D386" s="3" t="str">
        <f>IFERROR(__xludf.dummyfunction("""COMPUTED_VALUE"""),"26109190")</f>
        <v>26109190</v>
      </c>
      <c r="E386" s="3" t="str">
        <f>IFERROR(__xludf.dummyfunction("""COMPUTED_VALUE"""),"INFANTIL 4")</f>
        <v>INFANTIL 4</v>
      </c>
      <c r="F386" s="3" t="str">
        <f>IFERROR(__xludf.dummyfunction("""COMPUTED_VALUE"""),"Vespertino/Tarde")</f>
        <v>Vespertino/Tarde</v>
      </c>
      <c r="G386" s="3" t="str">
        <f>IFERROR(__xludf.dummyfunction("""COMPUTED_VALUE"""),"Comum")</f>
        <v>Comum</v>
      </c>
      <c r="H386" s="3" t="str">
        <f>IFERROR(__xludf.dummyfunction("""COMPUTED_VALUE"""),"1")</f>
        <v>1</v>
      </c>
      <c r="I386" s="145" t="str">
        <f>IFERROR(__xludf.dummyfunction("""COMPUTED_VALUE"""),"26092721929")</f>
        <v>26092721929</v>
      </c>
      <c r="J386" s="3" t="str">
        <f>IFERROR(__xludf.dummyfunction("""COMPUTED_VALUE"""),"22/09/2026 14:35:51")</f>
        <v>22/09/2026 14:35:51</v>
      </c>
      <c r="K386" s="3" t="str">
        <f>IFERROR(__xludf.dummyfunction("""COMPUTED_VALUE"""),"HELOA BARBOSA GOMES")</f>
        <v>HELOA BARBOSA GOMES</v>
      </c>
      <c r="L386" s="146" t="str">
        <f>IFERROR(__xludf.dummyfunction("""COMPUTED_VALUE"""),"182.891.604-88")</f>
        <v>182.891.604-88</v>
      </c>
      <c r="M386" s="146" t="str">
        <f>IFERROR(__xludf.dummyfunction("""COMPUTED_VALUE"""),"30/08/2021")</f>
        <v>30/08/2021</v>
      </c>
      <c r="N386" s="3"/>
      <c r="O386" s="3" t="str">
        <f>IFERROR(__xludf.dummyfunction("""COMPUTED_VALUE"""),"0")</f>
        <v>0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hidden="1" customHeight="1" spans="1:29">
      <c r="A387" s="3"/>
      <c r="B387" s="3" t="str">
        <f t="array" ref="B387">_xlfn.XLOOKUP(D387,Tabela_Dados_Esc_JAB_2026[INEP],Tabela_Dados_Esc_JAB_2026[REGIONAL],"NE",0)</f>
        <v>REGIONAL 7</v>
      </c>
      <c r="C387" s="4" t="str">
        <f>IFERROR(__xludf.dummyfunction("""COMPUTED_VALUE"""),"ESCOLA MUNICIPAL JESUS DE NAZARÉ")</f>
        <v>ESCOLA MUNICIPAL JESUS DE NAZARÉ</v>
      </c>
      <c r="D387" s="3" t="str">
        <f>IFERROR(__xludf.dummyfunction("""COMPUTED_VALUE"""),"26109190")</f>
        <v>26109190</v>
      </c>
      <c r="E387" s="3" t="str">
        <f>IFERROR(__xludf.dummyfunction("""COMPUTED_VALUE"""),"INFANTIL 4")</f>
        <v>INFANTIL 4</v>
      </c>
      <c r="F387" s="3" t="str">
        <f>IFERROR(__xludf.dummyfunction("""COMPUTED_VALUE"""),"Vespertino/Tarde")</f>
        <v>Vespertino/Tarde</v>
      </c>
      <c r="G387" s="3" t="str">
        <f>IFERROR(__xludf.dummyfunction("""COMPUTED_VALUE"""),"Comum")</f>
        <v>Comum</v>
      </c>
      <c r="H387" s="3" t="str">
        <f>IFERROR(__xludf.dummyfunction("""COMPUTED_VALUE"""),"2")</f>
        <v>2</v>
      </c>
      <c r="I387" s="145" t="str">
        <f>IFERROR(__xludf.dummyfunction("""COMPUTED_VALUE"""),"26092524321")</f>
        <v>26092524321</v>
      </c>
      <c r="J387" s="3" t="str">
        <f>IFERROR(__xludf.dummyfunction("""COMPUTED_VALUE"""),"22/09/2026 14:39:27")</f>
        <v>22/09/2026 14:39:27</v>
      </c>
      <c r="K387" s="3" t="str">
        <f>IFERROR(__xludf.dummyfunction("""COMPUTED_VALUE"""),"HELOISA BARBOSA GOMES")</f>
        <v>HELOISA BARBOSA GOMES</v>
      </c>
      <c r="L387" s="146" t="str">
        <f>IFERROR(__xludf.dummyfunction("""COMPUTED_VALUE"""),"182.891.614-50")</f>
        <v>182.891.614-50</v>
      </c>
      <c r="M387" s="146" t="str">
        <f>IFERROR(__xludf.dummyfunction("""COMPUTED_VALUE"""),"30/08/2021")</f>
        <v>30/08/2021</v>
      </c>
      <c r="N387" s="3"/>
      <c r="O387" s="3" t="str">
        <f>IFERROR(__xludf.dummyfunction("""COMPUTED_VALUE"""),"0")</f>
        <v>0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hidden="1" customHeight="1" spans="1:29">
      <c r="A388" s="3"/>
      <c r="B388" s="3" t="str">
        <f t="array" ref="B388">_xlfn.XLOOKUP(D388,Tabela_Dados_Esc_JAB_2026[INEP],Tabela_Dados_Esc_JAB_2026[REGIONAL],"NE",0)</f>
        <v>REGIONAL 1</v>
      </c>
      <c r="C388" s="4" t="str">
        <f>IFERROR(__xludf.dummyfunction("""COMPUTED_VALUE"""),"ESCOLA MUNICIPAL JOÃO BOSCO DE SENA")</f>
        <v>ESCOLA MUNICIPAL JOÃO BOSCO DE SENA</v>
      </c>
      <c r="D388" s="3" t="str">
        <f>IFERROR(__xludf.dummyfunction("""COMPUTED_VALUE"""),"26108461")</f>
        <v>26108461</v>
      </c>
      <c r="E388" s="3" t="str">
        <f>IFERROR(__xludf.dummyfunction("""COMPUTED_VALUE"""),"INFANTIL 5")</f>
        <v>INFANTIL 5</v>
      </c>
      <c r="F388" s="3" t="str">
        <f>IFERROR(__xludf.dummyfunction("""COMPUTED_VALUE"""),"Matutino/Manhã")</f>
        <v>Matutino/Manhã</v>
      </c>
      <c r="G388" s="3" t="str">
        <f>IFERROR(__xludf.dummyfunction("""COMPUTED_VALUE"""),"Comum")</f>
        <v>Comum</v>
      </c>
      <c r="H388" s="3" t="str">
        <f>IFERROR(__xludf.dummyfunction("""COMPUTED_VALUE"""),"1")</f>
        <v>1</v>
      </c>
      <c r="I388" s="147" t="str">
        <f>IFERROR(__xludf.dummyfunction("""COMPUTED_VALUE"""),"26092331651")</f>
        <v>26092331651</v>
      </c>
      <c r="J388" s="3" t="str">
        <f>IFERROR(__xludf.dummyfunction("""COMPUTED_VALUE"""),"18/09/2026 10:12:39")</f>
        <v>18/09/2026 10:12:39</v>
      </c>
      <c r="K388" s="3" t="str">
        <f>IFERROR(__xludf.dummyfunction("""COMPUTED_VALUE"""),"maria laura alves de lira")</f>
        <v>maria laura alves de lira</v>
      </c>
      <c r="L388" s="146" t="str">
        <f>IFERROR(__xludf.dummyfunction("""COMPUTED_VALUE"""),"174.710.974-69")</f>
        <v>174.710.974-69</v>
      </c>
      <c r="M388" s="146" t="str">
        <f>IFERROR(__xludf.dummyfunction("""COMPUTED_VALUE"""),"17/12/2020")</f>
        <v>17/12/2020</v>
      </c>
      <c r="N388" s="3"/>
      <c r="O388" s="3" t="str">
        <f>IFERROR(__xludf.dummyfunction("""COMPUTED_VALUE"""),"0")</f>
        <v>0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 spans="1:29">
      <c r="A389" s="3"/>
      <c r="B389" s="3" t="str">
        <f t="array" ref="B389">_xlfn.XLOOKUP(D389,Tabela_Dados_Esc_JAB_2026[INEP],Tabela_Dados_Esc_JAB_2026[REGIONAL],"NE",0)</f>
        <v>REGIONAL 2</v>
      </c>
      <c r="C389" s="4" t="str">
        <f>IFERROR(__xludf.dummyfunction("""COMPUTED_VALUE"""),"ESCOLA MUNICIPAL JOSE CLAUDINO DA SILVA")</f>
        <v>ESCOLA MUNICIPAL JOSE CLAUDINO DA SILVA</v>
      </c>
      <c r="D389" s="3" t="str">
        <f>IFERROR(__xludf.dummyfunction("""COMPUTED_VALUE"""),"26110342")</f>
        <v>26110342</v>
      </c>
      <c r="E389" s="3" t="str">
        <f>IFERROR(__xludf.dummyfunction("""COMPUTED_VALUE"""),"INFANTIL 4")</f>
        <v>INFANTIL 4</v>
      </c>
      <c r="F389" s="3" t="str">
        <f>IFERROR(__xludf.dummyfunction("""COMPUTED_VALUE"""),"Vespertino/Tarde")</f>
        <v>Vespertino/Tarde</v>
      </c>
      <c r="G389" s="3" t="str">
        <f>IFERROR(__xludf.dummyfunction("""COMPUTED_VALUE"""),"Comum")</f>
        <v>Comum</v>
      </c>
      <c r="H389" s="3" t="str">
        <f>IFERROR(__xludf.dummyfunction("""COMPUTED_VALUE"""),"1")</f>
        <v>1</v>
      </c>
      <c r="I389" s="147" t="str">
        <f>IFERROR(__xludf.dummyfunction("""COMPUTED_VALUE"""),"26052212613")</f>
        <v>26052212613</v>
      </c>
      <c r="J389" s="3" t="str">
        <f>IFERROR(__xludf.dummyfunction("""COMPUTED_VALUE"""),"07/05/2026 18:54:45")</f>
        <v>07/05/2026 18:54:45</v>
      </c>
      <c r="K389" s="3" t="str">
        <f>IFERROR(__xludf.dummyfunction("""COMPUTED_VALUE"""),"REBECA MANUELLA CHALEGRE FIRMINO")</f>
        <v>REBECA MANUELLA CHALEGRE FIRMINO</v>
      </c>
      <c r="L389" s="146" t="str">
        <f>IFERROR(__xludf.dummyfunction("""COMPUTED_VALUE"""),"177.110.124-54")</f>
        <v>177.110.124-54</v>
      </c>
      <c r="M389" s="146" t="str">
        <f>IFERROR(__xludf.dummyfunction("""COMPUTED_VALUE"""),"15/06/2021")</f>
        <v>15/06/2021</v>
      </c>
      <c r="N389" s="3"/>
      <c r="O389" s="3" t="str">
        <f>IFERROR(__xludf.dummyfunction("""COMPUTED_VALUE"""),"0")</f>
        <v>0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hidden="1" customHeight="1" spans="1:29">
      <c r="A390" s="3"/>
      <c r="B390" s="3" t="str">
        <f t="array" ref="B390">_xlfn.XLOOKUP(D390,Tabela_Dados_Esc_JAB_2026[INEP],Tabela_Dados_Esc_JAB_2026[REGIONAL],"NE",0)</f>
        <v>REGIONAL 6</v>
      </c>
      <c r="C390" s="4" t="str">
        <f>IFERROR(__xludf.dummyfunction("""COMPUTED_VALUE"""),"ESCOLA MUNICIPAL JOSE RODOVALHO - ESCOLA DE TEMPO INTEGRAL")</f>
        <v>ESCOLA MUNICIPAL JOSE RODOVALHO - ESCOLA DE TEMPO INTEGRAL</v>
      </c>
      <c r="D390" s="3" t="str">
        <f>IFERROR(__xludf.dummyfunction("""COMPUTED_VALUE"""),"26155036")</f>
        <v>26155036</v>
      </c>
      <c r="E390" s="3" t="str">
        <f>IFERROR(__xludf.dummyfunction("""COMPUTED_VALUE"""),"INFANTIL 4")</f>
        <v>INFANTIL 4</v>
      </c>
      <c r="F390" s="3" t="str">
        <f>IFERROR(__xludf.dummyfunction("""COMPUTED_VALUE"""),"Integral")</f>
        <v>Integral</v>
      </c>
      <c r="G390" s="3" t="str">
        <f>IFERROR(__xludf.dummyfunction("""COMPUTED_VALUE"""),"Comum")</f>
        <v>Comum</v>
      </c>
      <c r="H390" s="3" t="str">
        <f>IFERROR(__xludf.dummyfunction("""COMPUTED_VALUE"""),"1")</f>
        <v>1</v>
      </c>
      <c r="I390" s="147" t="str">
        <f>IFERROR(__xludf.dummyfunction("""COMPUTED_VALUE"""),"26032677956")</f>
        <v>26032677956</v>
      </c>
      <c r="J390" s="3" t="str">
        <f>IFERROR(__xludf.dummyfunction("""COMPUTED_VALUE"""),"19/03/2026 13:56:18")</f>
        <v>19/03/2026 13:56:18</v>
      </c>
      <c r="K390" s="3" t="str">
        <f>IFERROR(__xludf.dummyfunction("""COMPUTED_VALUE"""),"PIETRO DINIZ SANTOS DA SILVA")</f>
        <v>PIETRO DINIZ SANTOS DA SILVA</v>
      </c>
      <c r="L390" s="146" t="str">
        <f>IFERROR(__xludf.dummyfunction("""COMPUTED_VALUE"""),"176.766.404-40")</f>
        <v>176.766.404-40</v>
      </c>
      <c r="M390" s="146" t="str">
        <f>IFERROR(__xludf.dummyfunction("""COMPUTED_VALUE"""),"20/05/2021")</f>
        <v>20/05/2021</v>
      </c>
      <c r="N390" s="3"/>
      <c r="O390" s="3" t="str">
        <f>IFERROR(__xludf.dummyfunction("""COMPUTED_VALUE"""),"0")</f>
        <v>0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hidden="1" customHeight="1" spans="1:29">
      <c r="A391" s="3"/>
      <c r="B391" s="3" t="str">
        <f t="array" ref="B391">_xlfn.XLOOKUP(D391,Tabela_Dados_Esc_JAB_2026[INEP],Tabela_Dados_Esc_JAB_2026[REGIONAL],"NE",0)</f>
        <v>REGIONAL 6</v>
      </c>
      <c r="C391" s="4" t="str">
        <f>IFERROR(__xludf.dummyfunction("""COMPUTED_VALUE"""),"ESCOLA MUNICIPAL JOSE RODOVALHO - ESCOLA DE TEMPO INTEGRAL")</f>
        <v>ESCOLA MUNICIPAL JOSE RODOVALHO - ESCOLA DE TEMPO INTEGRAL</v>
      </c>
      <c r="D391" s="3" t="str">
        <f>IFERROR(__xludf.dummyfunction("""COMPUTED_VALUE"""),"26155036")</f>
        <v>26155036</v>
      </c>
      <c r="E391" s="3" t="str">
        <f>IFERROR(__xludf.dummyfunction("""COMPUTED_VALUE"""),"INFANTIL 4")</f>
        <v>INFANTIL 4</v>
      </c>
      <c r="F391" s="3" t="str">
        <f>IFERROR(__xludf.dummyfunction("""COMPUTED_VALUE"""),"Integral")</f>
        <v>Integral</v>
      </c>
      <c r="G391" s="3" t="str">
        <f>IFERROR(__xludf.dummyfunction("""COMPUTED_VALUE"""),"Comum")</f>
        <v>Comum</v>
      </c>
      <c r="H391" s="3" t="str">
        <f>IFERROR(__xludf.dummyfunction("""COMPUTED_VALUE"""),"2")</f>
        <v>2</v>
      </c>
      <c r="I391" s="147" t="str">
        <f>IFERROR(__xludf.dummyfunction("""COMPUTED_VALUE"""),"26042544778")</f>
        <v>26042544778</v>
      </c>
      <c r="J391" s="3" t="str">
        <f>IFERROR(__xludf.dummyfunction("""COMPUTED_VALUE"""),"23/04/2026 11:00:36")</f>
        <v>23/04/2026 11:00:36</v>
      </c>
      <c r="K391" s="3" t="str">
        <f>IFERROR(__xludf.dummyfunction("""COMPUTED_VALUE"""),"HEITOR HENRIQUE DA SILVA CARNEIRO")</f>
        <v>HEITOR HENRIQUE DA SILVA CARNEIRO</v>
      </c>
      <c r="L391" s="146" t="str">
        <f>IFERROR(__xludf.dummyfunction("""COMPUTED_VALUE"""),"180.105.184-41")</f>
        <v>180.105.184-41</v>
      </c>
      <c r="M391" s="146" t="str">
        <f>IFERROR(__xludf.dummyfunction("""COMPUTED_VALUE"""),"26/11/2021")</f>
        <v>26/11/2021</v>
      </c>
      <c r="N391" s="3"/>
      <c r="O391" s="3" t="str">
        <f>IFERROR(__xludf.dummyfunction("""COMPUTED_VALUE"""),"0")</f>
        <v>0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hidden="1" customHeight="1" spans="1:29">
      <c r="A392" s="3"/>
      <c r="B392" s="3" t="str">
        <f t="array" ref="B392">_xlfn.XLOOKUP(D392,Tabela_Dados_Esc_JAB_2026[INEP],Tabela_Dados_Esc_JAB_2026[REGIONAL],"NE",0)</f>
        <v>REGIONAL 6</v>
      </c>
      <c r="C392" s="4" t="str">
        <f>IFERROR(__xludf.dummyfunction("""COMPUTED_VALUE"""),"ESCOLA MUNICIPAL JOSE RODOVALHO - ESCOLA DE TEMPO INTEGRAL")</f>
        <v>ESCOLA MUNICIPAL JOSE RODOVALHO - ESCOLA DE TEMPO INTEGRAL</v>
      </c>
      <c r="D392" s="3" t="str">
        <f>IFERROR(__xludf.dummyfunction("""COMPUTED_VALUE"""),"26155036")</f>
        <v>26155036</v>
      </c>
      <c r="E392" s="3" t="str">
        <f>IFERROR(__xludf.dummyfunction("""COMPUTED_VALUE"""),"INFANTIL 4")</f>
        <v>INFANTIL 4</v>
      </c>
      <c r="F392" s="3" t="str">
        <f>IFERROR(__xludf.dummyfunction("""COMPUTED_VALUE"""),"Integral")</f>
        <v>Integral</v>
      </c>
      <c r="G392" s="3" t="str">
        <f>IFERROR(__xludf.dummyfunction("""COMPUTED_VALUE"""),"Comum")</f>
        <v>Comum</v>
      </c>
      <c r="H392" s="3" t="str">
        <f>IFERROR(__xludf.dummyfunction("""COMPUTED_VALUE"""),"3")</f>
        <v>3</v>
      </c>
      <c r="I392" s="147" t="str">
        <f>IFERROR(__xludf.dummyfunction("""COMPUTED_VALUE"""),"26092031279")</f>
        <v>26092031279</v>
      </c>
      <c r="J392" s="3" t="str">
        <f>IFERROR(__xludf.dummyfunction("""COMPUTED_VALUE"""),"09/09/2026 10:24:05")</f>
        <v>09/09/2026 10:24:05</v>
      </c>
      <c r="K392" s="3" t="str">
        <f>IFERROR(__xludf.dummyfunction("""COMPUTED_VALUE"""),"DAIANNE LARA DIAS DOS SANTOS")</f>
        <v>DAIANNE LARA DIAS DOS SANTOS</v>
      </c>
      <c r="L392" s="146" t="str">
        <f>IFERROR(__xludf.dummyfunction("""COMPUTED_VALUE"""),"179.085.514-40")</f>
        <v>179.085.514-40</v>
      </c>
      <c r="M392" s="146" t="str">
        <f>IFERROR(__xludf.dummyfunction("""COMPUTED_VALUE"""),"30/10/2021")</f>
        <v>30/10/2021</v>
      </c>
      <c r="N392" s="3"/>
      <c r="O392" s="3" t="str">
        <f>IFERROR(__xludf.dummyfunction("""COMPUTED_VALUE"""),"0")</f>
        <v>0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hidden="1" customHeight="1" spans="1:29">
      <c r="A393" s="3"/>
      <c r="B393" s="3" t="str">
        <f t="array" ref="B393">_xlfn.XLOOKUP(D393,Tabela_Dados_Esc_JAB_2026[INEP],Tabela_Dados_Esc_JAB_2026[REGIONAL],"NE",0)</f>
        <v>REGIONAL 6</v>
      </c>
      <c r="C393" s="4" t="str">
        <f>IFERROR(__xludf.dummyfunction("""COMPUTED_VALUE"""),"ESCOLA MUNICIPAL JOSE RODOVALHO - ESCOLA DE TEMPO INTEGRAL")</f>
        <v>ESCOLA MUNICIPAL JOSE RODOVALHO - ESCOLA DE TEMPO INTEGRAL</v>
      </c>
      <c r="D393" s="3" t="str">
        <f>IFERROR(__xludf.dummyfunction("""COMPUTED_VALUE"""),"26155036")</f>
        <v>26155036</v>
      </c>
      <c r="E393" s="3" t="str">
        <f>IFERROR(__xludf.dummyfunction("""COMPUTED_VALUE"""),"INFANTIL 5")</f>
        <v>INFANTIL 5</v>
      </c>
      <c r="F393" s="3" t="str">
        <f>IFERROR(__xludf.dummyfunction("""COMPUTED_VALUE"""),"Integral")</f>
        <v>Integral</v>
      </c>
      <c r="G393" s="3" t="str">
        <f>IFERROR(__xludf.dummyfunction("""COMPUTED_VALUE"""),"Comum")</f>
        <v>Comum</v>
      </c>
      <c r="H393" s="3" t="str">
        <f>IFERROR(__xludf.dummyfunction("""COMPUTED_VALUE"""),"1")</f>
        <v>1</v>
      </c>
      <c r="I393" s="147" t="str">
        <f>IFERROR(__xludf.dummyfunction("""COMPUTED_VALUE"""),"26032154551")</f>
        <v>26032154551</v>
      </c>
      <c r="J393" s="3" t="str">
        <f>IFERROR(__xludf.dummyfunction("""COMPUTED_VALUE"""),"13/03/2026 19:24:46")</f>
        <v>13/03/2026 19:24:46</v>
      </c>
      <c r="K393" s="3" t="str">
        <f>IFERROR(__xludf.dummyfunction("""COMPUTED_VALUE"""),"ELENA FERREIRA VIEIRA")</f>
        <v>ELENA FERREIRA VIEIRA</v>
      </c>
      <c r="L393" s="146" t="str">
        <f>IFERROR(__xludf.dummyfunction("""COMPUTED_VALUE"""),"222.791.957-47")</f>
        <v>222.791.957-47</v>
      </c>
      <c r="M393" s="146" t="str">
        <f>IFERROR(__xludf.dummyfunction("""COMPUTED_VALUE"""),"29/07/2020")</f>
        <v>29/07/2020</v>
      </c>
      <c r="N393" s="3"/>
      <c r="O393" s="3" t="str">
        <f>IFERROR(__xludf.dummyfunction("""COMPUTED_VALUE"""),"0")</f>
        <v>0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hidden="1" customHeight="1" spans="1:29">
      <c r="A394" s="3"/>
      <c r="B394" s="3" t="str">
        <f t="array" ref="B394">_xlfn.XLOOKUP(D394,Tabela_Dados_Esc_JAB_2026[INEP],Tabela_Dados_Esc_JAB_2026[REGIONAL],"NE",0)</f>
        <v>REGIONAL 6</v>
      </c>
      <c r="C394" s="4" t="str">
        <f>IFERROR(__xludf.dummyfunction("""COMPUTED_VALUE"""),"ESCOLA MUNICIPAL JOSE RODOVALHO - ESCOLA DE TEMPO INTEGRAL")</f>
        <v>ESCOLA MUNICIPAL JOSE RODOVALHO - ESCOLA DE TEMPO INTEGRAL</v>
      </c>
      <c r="D394" s="3" t="str">
        <f>IFERROR(__xludf.dummyfunction("""COMPUTED_VALUE"""),"26155036")</f>
        <v>26155036</v>
      </c>
      <c r="E394" s="3" t="str">
        <f>IFERROR(__xludf.dummyfunction("""COMPUTED_VALUE"""),"INFANTIL 5")</f>
        <v>INFANTIL 5</v>
      </c>
      <c r="F394" s="3" t="str">
        <f>IFERROR(__xludf.dummyfunction("""COMPUTED_VALUE"""),"Integral")</f>
        <v>Integral</v>
      </c>
      <c r="G394" s="3" t="str">
        <f>IFERROR(__xludf.dummyfunction("""COMPUTED_VALUE"""),"Comum")</f>
        <v>Comum</v>
      </c>
      <c r="H394" s="3" t="str">
        <f>IFERROR(__xludf.dummyfunction("""COMPUTED_VALUE"""),"2")</f>
        <v>2</v>
      </c>
      <c r="I394" s="147" t="str">
        <f>IFERROR(__xludf.dummyfunction("""COMPUTED_VALUE"""),"26042672605")</f>
        <v>26042672605</v>
      </c>
      <c r="J394" s="3" t="str">
        <f>IFERROR(__xludf.dummyfunction("""COMPUTED_VALUE"""),"06/04/2026 11:28:19")</f>
        <v>06/04/2026 11:28:19</v>
      </c>
      <c r="K394" s="3" t="str">
        <f>IFERROR(__xludf.dummyfunction("""COMPUTED_VALUE"""),"LUCAS LORENZO MARQUES DO NASCIMENTO")</f>
        <v>LUCAS LORENZO MARQUES DO NASCIMENTO</v>
      </c>
      <c r="L394" s="146" t="str">
        <f>IFERROR(__xludf.dummyfunction("""COMPUTED_VALUE"""),"173.473.104-40")</f>
        <v>173.473.104-40</v>
      </c>
      <c r="M394" s="146" t="str">
        <f>IFERROR(__xludf.dummyfunction("""COMPUTED_VALUE"""),"22/09/2020")</f>
        <v>22/09/2020</v>
      </c>
      <c r="N394" s="3"/>
      <c r="O394" s="3" t="str">
        <f>IFERROR(__xludf.dummyfunction("""COMPUTED_VALUE"""),"0")</f>
        <v>0</v>
      </c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hidden="1" customHeight="1" spans="1:29">
      <c r="A395" s="3"/>
      <c r="B395" s="3" t="str">
        <f t="array" ref="B395">_xlfn.XLOOKUP(D395,Tabela_Dados_Esc_JAB_2026[INEP],Tabela_Dados_Esc_JAB_2026[REGIONAL],"NE",0)</f>
        <v>REGIONAL 6</v>
      </c>
      <c r="C395" s="4" t="str">
        <f>IFERROR(__xludf.dummyfunction("""COMPUTED_VALUE"""),"ESCOLA MUNICIPAL JOSE RODOVALHO - ESCOLA DE TEMPO INTEGRAL")</f>
        <v>ESCOLA MUNICIPAL JOSE RODOVALHO - ESCOLA DE TEMPO INTEGRAL</v>
      </c>
      <c r="D395" s="3" t="str">
        <f>IFERROR(__xludf.dummyfunction("""COMPUTED_VALUE"""),"26155036")</f>
        <v>26155036</v>
      </c>
      <c r="E395" s="3" t="str">
        <f>IFERROR(__xludf.dummyfunction("""COMPUTED_VALUE"""),"INFANTIL 5")</f>
        <v>INFANTIL 5</v>
      </c>
      <c r="F395" s="3" t="str">
        <f>IFERROR(__xludf.dummyfunction("""COMPUTED_VALUE"""),"Integral")</f>
        <v>Integral</v>
      </c>
      <c r="G395" s="3" t="str">
        <f>IFERROR(__xludf.dummyfunction("""COMPUTED_VALUE"""),"Comum")</f>
        <v>Comum</v>
      </c>
      <c r="H395" s="3" t="str">
        <f>IFERROR(__xludf.dummyfunction("""COMPUTED_VALUE"""),"3")</f>
        <v>3</v>
      </c>
      <c r="I395" s="147" t="str">
        <f>IFERROR(__xludf.dummyfunction("""COMPUTED_VALUE"""),"26042040238")</f>
        <v>26042040238</v>
      </c>
      <c r="J395" s="3" t="str">
        <f>IFERROR(__xludf.dummyfunction("""COMPUTED_VALUE"""),"09/04/2026 14:14:48")</f>
        <v>09/04/2026 14:14:48</v>
      </c>
      <c r="K395" s="3" t="str">
        <f>IFERROR(__xludf.dummyfunction("""COMPUTED_VALUE"""),"TALISON RODRIGO MARINHO BELO")</f>
        <v>TALISON RODRIGO MARINHO BELO</v>
      </c>
      <c r="L395" s="146" t="str">
        <f>IFERROR(__xludf.dummyfunction("""COMPUTED_VALUE"""),"171.357.904-99")</f>
        <v>171.357.904-99</v>
      </c>
      <c r="M395" s="146" t="str">
        <f>IFERROR(__xludf.dummyfunction("""COMPUTED_VALUE"""),"07/04/2020")</f>
        <v>07/04/2020</v>
      </c>
      <c r="N395" s="3"/>
      <c r="O395" s="3" t="str">
        <f>IFERROR(__xludf.dummyfunction("""COMPUTED_VALUE"""),"0")</f>
        <v>0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hidden="1" customHeight="1" spans="1:29">
      <c r="A396" s="3"/>
      <c r="B396" s="3" t="str">
        <f t="array" ref="B396">_xlfn.XLOOKUP(D396,Tabela_Dados_Esc_JAB_2026[INEP],Tabela_Dados_Esc_JAB_2026[REGIONAL],"NE",0)</f>
        <v>REGIONAL 6</v>
      </c>
      <c r="C396" s="4" t="str">
        <f>IFERROR(__xludf.dummyfunction("""COMPUTED_VALUE"""),"ESCOLA MUNICIPAL JOSE RODOVALHO - ESCOLA DE TEMPO INTEGRAL")</f>
        <v>ESCOLA MUNICIPAL JOSE RODOVALHO - ESCOLA DE TEMPO INTEGRAL</v>
      </c>
      <c r="D396" s="3" t="str">
        <f>IFERROR(__xludf.dummyfunction("""COMPUTED_VALUE"""),"26155036")</f>
        <v>26155036</v>
      </c>
      <c r="E396" s="3" t="str">
        <f>IFERROR(__xludf.dummyfunction("""COMPUTED_VALUE"""),"INFANTIL 5")</f>
        <v>INFANTIL 5</v>
      </c>
      <c r="F396" s="3" t="str">
        <f>IFERROR(__xludf.dummyfunction("""COMPUTED_VALUE"""),"Integral")</f>
        <v>Integral</v>
      </c>
      <c r="G396" s="3" t="str">
        <f>IFERROR(__xludf.dummyfunction("""COMPUTED_VALUE"""),"Comum")</f>
        <v>Comum</v>
      </c>
      <c r="H396" s="3" t="str">
        <f>IFERROR(__xludf.dummyfunction("""COMPUTED_VALUE"""),"4")</f>
        <v>4</v>
      </c>
      <c r="I396" s="147" t="str">
        <f>IFERROR(__xludf.dummyfunction("""COMPUTED_VALUE"""),"26042514028")</f>
        <v>26042514028</v>
      </c>
      <c r="J396" s="3" t="str">
        <f>IFERROR(__xludf.dummyfunction("""COMPUTED_VALUE"""),"23/04/2026 08:21:30")</f>
        <v>23/04/2026 08:21:30</v>
      </c>
      <c r="K396" s="3" t="str">
        <f>IFERROR(__xludf.dummyfunction("""COMPUTED_VALUE"""),"YANNA KAILLANE GUSMÃO BARBOSA DA SILVA")</f>
        <v>YANNA KAILLANE GUSMÃO BARBOSA DA SILVA</v>
      </c>
      <c r="L396" s="146" t="str">
        <f>IFERROR(__xludf.dummyfunction("""COMPUTED_VALUE"""),"175.827.674-62")</f>
        <v>175.827.674-62</v>
      </c>
      <c r="M396" s="146" t="str">
        <f>IFERROR(__xludf.dummyfunction("""COMPUTED_VALUE"""),"11/02/2021")</f>
        <v>11/02/2021</v>
      </c>
      <c r="N396" s="3"/>
      <c r="O396" s="3" t="str">
        <f>IFERROR(__xludf.dummyfunction("""COMPUTED_VALUE"""),"0")</f>
        <v>0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hidden="1" customHeight="1" spans="1:29">
      <c r="A397" s="3"/>
      <c r="B397" s="3" t="str">
        <f t="array" ref="B397">_xlfn.XLOOKUP(D397,Tabela_Dados_Esc_JAB_2026[INEP],Tabela_Dados_Esc_JAB_2026[REGIONAL],"NE",0)</f>
        <v>REGIONAL 6</v>
      </c>
      <c r="C397" s="4" t="str">
        <f>IFERROR(__xludf.dummyfunction("""COMPUTED_VALUE"""),"ESCOLA MUNICIPAL JOSE RODOVALHO - ESCOLA DE TEMPO INTEGRAL")</f>
        <v>ESCOLA MUNICIPAL JOSE RODOVALHO - ESCOLA DE TEMPO INTEGRAL</v>
      </c>
      <c r="D397" s="3" t="str">
        <f>IFERROR(__xludf.dummyfunction("""COMPUTED_VALUE"""),"26155036")</f>
        <v>26155036</v>
      </c>
      <c r="E397" s="3" t="str">
        <f>IFERROR(__xludf.dummyfunction("""COMPUTED_VALUE"""),"INFANTIL 5")</f>
        <v>INFANTIL 5</v>
      </c>
      <c r="F397" s="3" t="str">
        <f>IFERROR(__xludf.dummyfunction("""COMPUTED_VALUE"""),"Integral")</f>
        <v>Integral</v>
      </c>
      <c r="G397" s="3" t="str">
        <f>IFERROR(__xludf.dummyfunction("""COMPUTED_VALUE"""),"Comum")</f>
        <v>Comum</v>
      </c>
      <c r="H397" s="3" t="str">
        <f>IFERROR(__xludf.dummyfunction("""COMPUTED_VALUE"""),"5")</f>
        <v>5</v>
      </c>
      <c r="I397" s="147" t="str">
        <f>IFERROR(__xludf.dummyfunction("""COMPUTED_VALUE"""),"26092339634")</f>
        <v>26092339634</v>
      </c>
      <c r="J397" s="3" t="str">
        <f>IFERROR(__xludf.dummyfunction("""COMPUTED_VALUE"""),"09/09/2026 10:19:39")</f>
        <v>09/09/2026 10:19:39</v>
      </c>
      <c r="K397" s="3" t="str">
        <f>IFERROR(__xludf.dummyfunction("""COMPUTED_VALUE"""),"PEDRO DIAS DOS SANTOS")</f>
        <v>PEDRO DIAS DOS SANTOS</v>
      </c>
      <c r="L397" s="146" t="str">
        <f>IFERROR(__xludf.dummyfunction("""COMPUTED_VALUE"""),"172.680.204-30")</f>
        <v>172.680.204-30</v>
      </c>
      <c r="M397" s="146" t="str">
        <f>IFERROR(__xludf.dummyfunction("""COMPUTED_VALUE"""),"11/07/2020")</f>
        <v>11/07/2020</v>
      </c>
      <c r="N397" s="3"/>
      <c r="O397" s="3" t="str">
        <f>IFERROR(__xludf.dummyfunction("""COMPUTED_VALUE"""),"0")</f>
        <v>0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hidden="1" customHeight="1" spans="1:29">
      <c r="A398" s="3"/>
      <c r="B398" s="3" t="str">
        <f t="array" ref="B398">_xlfn.XLOOKUP(D398,Tabela_Dados_Esc_JAB_2026[INEP],Tabela_Dados_Esc_JAB_2026[REGIONAL],"NE",0)</f>
        <v>REGIONAL 6</v>
      </c>
      <c r="C398" s="4" t="str">
        <f>IFERROR(__xludf.dummyfunction("""COMPUTED_VALUE"""),"ESCOLA MUNICIPAL JOSE RODOVALHO - ESCOLA DE TEMPO INTEGRAL")</f>
        <v>ESCOLA MUNICIPAL JOSE RODOVALHO - ESCOLA DE TEMPO INTEGRAL</v>
      </c>
      <c r="D398" s="3" t="str">
        <f>IFERROR(__xludf.dummyfunction("""COMPUTED_VALUE"""),"26155036")</f>
        <v>26155036</v>
      </c>
      <c r="E398" s="3" t="str">
        <f>IFERROR(__xludf.dummyfunction("""COMPUTED_VALUE"""),"INFANTIL 5")</f>
        <v>INFANTIL 5</v>
      </c>
      <c r="F398" s="3" t="str">
        <f>IFERROR(__xludf.dummyfunction("""COMPUTED_VALUE"""),"Integral")</f>
        <v>Integral</v>
      </c>
      <c r="G398" s="3" t="str">
        <f>IFERROR(__xludf.dummyfunction("""COMPUTED_VALUE"""),"Comum")</f>
        <v>Comum</v>
      </c>
      <c r="H398" s="3" t="str">
        <f>IFERROR(__xludf.dummyfunction("""COMPUTED_VALUE"""),"6")</f>
        <v>6</v>
      </c>
      <c r="I398" s="147" t="str">
        <f>IFERROR(__xludf.dummyfunction("""COMPUTED_VALUE"""),"26092139485")</f>
        <v>26092139485</v>
      </c>
      <c r="J398" s="3" t="str">
        <f>IFERROR(__xludf.dummyfunction("""COMPUTED_VALUE"""),"11/09/2026 18:49:58")</f>
        <v>11/09/2026 18:49:58</v>
      </c>
      <c r="K398" s="3" t="str">
        <f>IFERROR(__xludf.dummyfunction("""COMPUTED_VALUE"""),"José Carlos de lira filho")</f>
        <v>José Carlos de lira filho</v>
      </c>
      <c r="L398" s="146" t="str">
        <f>IFERROR(__xludf.dummyfunction("""COMPUTED_VALUE"""),"035.285.414-66")</f>
        <v>035.285.414-66</v>
      </c>
      <c r="M398" s="146" t="str">
        <f>IFERROR(__xludf.dummyfunction("""COMPUTED_VALUE"""),"02/06/2020")</f>
        <v>02/06/2020</v>
      </c>
      <c r="N398" s="3"/>
      <c r="O398" s="3" t="str">
        <f>IFERROR(__xludf.dummyfunction("""COMPUTED_VALUE"""),"0")</f>
        <v>0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hidden="1" customHeight="1" spans="1:29">
      <c r="A399" s="3"/>
      <c r="B399" s="3" t="str">
        <f t="array" ref="B399">_xlfn.XLOOKUP(D399,Tabela_Dados_Esc_JAB_2026[INEP],Tabela_Dados_Esc_JAB_2026[REGIONAL],"NE",0)</f>
        <v>REGIONAL 6</v>
      </c>
      <c r="C399" s="4" t="str">
        <f>IFERROR(__xludf.dummyfunction("""COMPUTED_VALUE"""),"ESCOLA MUNICIPAL JOSE RODOVALHO - ESCOLA DE TEMPO INTEGRAL")</f>
        <v>ESCOLA MUNICIPAL JOSE RODOVALHO - ESCOLA DE TEMPO INTEGRAL</v>
      </c>
      <c r="D399" s="3" t="str">
        <f>IFERROR(__xludf.dummyfunction("""COMPUTED_VALUE"""),"26155036")</f>
        <v>26155036</v>
      </c>
      <c r="E399" s="3" t="str">
        <f>IFERROR(__xludf.dummyfunction("""COMPUTED_VALUE"""),"INFANTIL 5")</f>
        <v>INFANTIL 5</v>
      </c>
      <c r="F399" s="3" t="str">
        <f>IFERROR(__xludf.dummyfunction("""COMPUTED_VALUE"""),"Integral")</f>
        <v>Integral</v>
      </c>
      <c r="G399" s="3" t="str">
        <f>IFERROR(__xludf.dummyfunction("""COMPUTED_VALUE"""),"Comum")</f>
        <v>Comum</v>
      </c>
      <c r="H399" s="3" t="str">
        <f>IFERROR(__xludf.dummyfunction("""COMPUTED_VALUE"""),"7")</f>
        <v>7</v>
      </c>
      <c r="I399" s="147" t="str">
        <f>IFERROR(__xludf.dummyfunction("""COMPUTED_VALUE"""),"26092971261")</f>
        <v>26092971261</v>
      </c>
      <c r="J399" s="3" t="str">
        <f>IFERROR(__xludf.dummyfunction("""COMPUTED_VALUE"""),"21/09/2026 20:38:43")</f>
        <v>21/09/2026 20:38:43</v>
      </c>
      <c r="K399" s="3" t="str">
        <f>IFERROR(__xludf.dummyfunction("""COMPUTED_VALUE"""),"Eliane Beatriz Cardoso de Santana")</f>
        <v>Eliane Beatriz Cardoso de Santana</v>
      </c>
      <c r="L399" s="146" t="str">
        <f>IFERROR(__xludf.dummyfunction("""COMPUTED_VALUE"""),"170.331.584-75")</f>
        <v>170.331.584-75</v>
      </c>
      <c r="M399" s="146" t="str">
        <f>IFERROR(__xludf.dummyfunction("""COMPUTED_VALUE"""),"20/01/2021")</f>
        <v>20/01/2021</v>
      </c>
      <c r="N399" s="3"/>
      <c r="O399" s="3" t="str">
        <f>IFERROR(__xludf.dummyfunction("""COMPUTED_VALUE"""),"0")</f>
        <v>0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hidden="1" customHeight="1" spans="1:29">
      <c r="A400" s="3"/>
      <c r="B400" s="3" t="str">
        <f t="array" ref="B400">_xlfn.XLOOKUP(D400,Tabela_Dados_Esc_JAB_2026[INEP],Tabela_Dados_Esc_JAB_2026[REGIONAL],"NE",0)</f>
        <v>REGIONAL 5</v>
      </c>
      <c r="C400" s="4" t="str">
        <f>IFERROR(__xludf.dummyfunction("""COMPUTED_VALUE"""),"ESCOLA MUNICIPAL MARECHAL COSTA E SILVA")</f>
        <v>ESCOLA MUNICIPAL MARECHAL COSTA E SILVA</v>
      </c>
      <c r="D400" s="3" t="str">
        <f>IFERROR(__xludf.dummyfunction("""COMPUTED_VALUE"""),"26111543")</f>
        <v>26111543</v>
      </c>
      <c r="E400" s="3" t="str">
        <f>IFERROR(__xludf.dummyfunction("""COMPUTED_VALUE"""),"INFANTIL 5")</f>
        <v>INFANTIL 5</v>
      </c>
      <c r="F400" s="3" t="str">
        <f>IFERROR(__xludf.dummyfunction("""COMPUTED_VALUE"""),"Matutino/Manhã")</f>
        <v>Matutino/Manhã</v>
      </c>
      <c r="G400" s="3" t="str">
        <f>IFERROR(__xludf.dummyfunction("""COMPUTED_VALUE"""),"Comum")</f>
        <v>Comum</v>
      </c>
      <c r="H400" s="3" t="str">
        <f>IFERROR(__xludf.dummyfunction("""COMPUTED_VALUE"""),"1")</f>
        <v>1</v>
      </c>
      <c r="I400" s="147" t="str">
        <f>IFERROR(__xludf.dummyfunction("""COMPUTED_VALUE"""),"26032271458")</f>
        <v>26032271458</v>
      </c>
      <c r="J400" s="3" t="str">
        <f>IFERROR(__xludf.dummyfunction("""COMPUTED_VALUE"""),"17/03/2026 16:06:30")</f>
        <v>17/03/2026 16:06:30</v>
      </c>
      <c r="K400" s="3" t="str">
        <f>IFERROR(__xludf.dummyfunction("""COMPUTED_VALUE"""),"BENJAMIM FELIX DA SILVA HONORATO")</f>
        <v>BENJAMIM FELIX DA SILVA HONORATO</v>
      </c>
      <c r="L400" s="146" t="str">
        <f>IFERROR(__xludf.dummyfunction("""COMPUTED_VALUE"""),"173.933.634-88")</f>
        <v>173.933.634-88</v>
      </c>
      <c r="M400" s="146" t="str">
        <f>IFERROR(__xludf.dummyfunction("""COMPUTED_VALUE"""),"08/10/2020")</f>
        <v>08/10/2020</v>
      </c>
      <c r="N400" s="3"/>
      <c r="O400" s="3" t="str">
        <f>IFERROR(__xludf.dummyfunction("""COMPUTED_VALUE"""),"0")</f>
        <v>0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hidden="1" customHeight="1" spans="1:29">
      <c r="A401" s="3"/>
      <c r="B401" s="3" t="str">
        <f t="array" ref="B401">_xlfn.XLOOKUP(D401,Tabela_Dados_Esc_JAB_2026[INEP],Tabela_Dados_Esc_JAB_2026[REGIONAL],"NE",0)</f>
        <v>REGIONAL 1</v>
      </c>
      <c r="C401" s="4" t="str">
        <f>IFERROR(__xludf.dummyfunction("""COMPUTED_VALUE"""),"ESCOLA MUNICIPAL MARIA DE LOURDES RAMOS")</f>
        <v>ESCOLA MUNICIPAL MARIA DE LOURDES RAMOS</v>
      </c>
      <c r="D401" s="3" t="str">
        <f>IFERROR(__xludf.dummyfunction("""COMPUTED_VALUE"""),"26111110")</f>
        <v>26111110</v>
      </c>
      <c r="E401" s="3" t="str">
        <f>IFERROR(__xludf.dummyfunction("""COMPUTED_VALUE"""),"INFANTIL 5")</f>
        <v>INFANTIL 5</v>
      </c>
      <c r="F401" s="3" t="str">
        <f>IFERROR(__xludf.dummyfunction("""COMPUTED_VALUE"""),"Vespertino/Tarde")</f>
        <v>Vespertino/Tarde</v>
      </c>
      <c r="G401" s="3" t="str">
        <f>IFERROR(__xludf.dummyfunction("""COMPUTED_VALUE"""),"Comum")</f>
        <v>Comum</v>
      </c>
      <c r="H401" s="3" t="str">
        <f>IFERROR(__xludf.dummyfunction("""COMPUTED_VALUE"""),"1")</f>
        <v>1</v>
      </c>
      <c r="I401" s="147" t="str">
        <f>IFERROR(__xludf.dummyfunction("""COMPUTED_VALUE"""),"26032107136")</f>
        <v>26032107136</v>
      </c>
      <c r="J401" s="3" t="str">
        <f>IFERROR(__xludf.dummyfunction("""COMPUTED_VALUE"""),"03/03/2026 12:30:35")</f>
        <v>03/03/2026 12:30:35</v>
      </c>
      <c r="K401" s="3" t="str">
        <f>IFERROR(__xludf.dummyfunction("""COMPUTED_VALUE"""),"LAURA VALLENTINA BERNARDO MELO DA SILVA")</f>
        <v>LAURA VALLENTINA BERNARDO MELO DA SILVA</v>
      </c>
      <c r="L401" s="146" t="str">
        <f>IFERROR(__xludf.dummyfunction("""COMPUTED_VALUE"""),"174.249.374-21")</f>
        <v>174.249.374-21</v>
      </c>
      <c r="M401" s="146" t="str">
        <f>IFERROR(__xludf.dummyfunction("""COMPUTED_VALUE"""),"17/11/2020")</f>
        <v>17/11/2020</v>
      </c>
      <c r="N401" s="3"/>
      <c r="O401" s="3" t="str">
        <f>IFERROR(__xludf.dummyfunction("""COMPUTED_VALUE"""),"0")</f>
        <v>0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 spans="1:29">
      <c r="A402" s="3"/>
      <c r="B402" s="3" t="str">
        <f t="array" ref="B402">_xlfn.XLOOKUP(D402,Tabela_Dados_Esc_JAB_2026[INEP],Tabela_Dados_Esc_JAB_2026[REGIONAL],"NE",0)</f>
        <v>REGIONAL 2</v>
      </c>
      <c r="C402" s="4" t="str">
        <f>IFERROR(__xludf.dummyfunction("""COMPUTED_VALUE"""),"ESCOLA MUNICIPAL NOSSA SENHORA DA CONCEIÇÃO")</f>
        <v>ESCOLA MUNICIPAL NOSSA SENHORA DA CONCEIÇÃO</v>
      </c>
      <c r="D402" s="3" t="str">
        <f>IFERROR(__xludf.dummyfunction("""COMPUTED_VALUE"""),"26139987")</f>
        <v>26139987</v>
      </c>
      <c r="E402" s="3" t="str">
        <f>IFERROR(__xludf.dummyfunction("""COMPUTED_VALUE"""),"INFANTIL 4")</f>
        <v>INFANTIL 4</v>
      </c>
      <c r="F402" s="3" t="str">
        <f>IFERROR(__xludf.dummyfunction("""COMPUTED_VALUE"""),"Matutino/Manhã")</f>
        <v>Matutino/Manhã</v>
      </c>
      <c r="G402" s="3" t="str">
        <f>IFERROR(__xludf.dummyfunction("""COMPUTED_VALUE"""),"Comum")</f>
        <v>Comum</v>
      </c>
      <c r="H402" s="3" t="str">
        <f>IFERROR(__xludf.dummyfunction("""COMPUTED_VALUE"""),"1")</f>
        <v>1</v>
      </c>
      <c r="I402" s="147" t="str">
        <f>IFERROR(__xludf.dummyfunction("""COMPUTED_VALUE"""),"26012003704")</f>
        <v>26012003704</v>
      </c>
      <c r="J402" s="3" t="str">
        <f>IFERROR(__xludf.dummyfunction("""COMPUTED_VALUE"""),"29/01/2026 09:05:19")</f>
        <v>29/01/2026 09:05:19</v>
      </c>
      <c r="K402" s="3" t="str">
        <f>IFERROR(__xludf.dummyfunction("""COMPUTED_VALUE"""),"RAVI BENJAMIN RODRIGUES DE LIRA")</f>
        <v>RAVI BENJAMIN RODRIGUES DE LIRA</v>
      </c>
      <c r="L402" s="146" t="str">
        <f>IFERROR(__xludf.dummyfunction("""COMPUTED_VALUE"""),"179.431.394-02")</f>
        <v>179.431.394-02</v>
      </c>
      <c r="M402" s="146" t="str">
        <f>IFERROR(__xludf.dummyfunction("""COMPUTED_VALUE"""),"03/12/2021")</f>
        <v>03/12/2021</v>
      </c>
      <c r="N402" s="3"/>
      <c r="O402" s="3" t="str">
        <f>IFERROR(__xludf.dummyfunction("""COMPUTED_VALUE"""),"0")</f>
        <v>0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 spans="1:29">
      <c r="A403" s="3"/>
      <c r="B403" s="3" t="str">
        <f t="array" ref="B403">_xlfn.XLOOKUP(D403,Tabela_Dados_Esc_JAB_2026[INEP],Tabela_Dados_Esc_JAB_2026[REGIONAL],"NE",0)</f>
        <v>REGIONAL 2</v>
      </c>
      <c r="C403" s="4" t="str">
        <f>IFERROR(__xludf.dummyfunction("""COMPUTED_VALUE"""),"ESCOLA MUNICIPAL NOSSA SENHORA DA CONCEIÇÃO")</f>
        <v>ESCOLA MUNICIPAL NOSSA SENHORA DA CONCEIÇÃO</v>
      </c>
      <c r="D403" s="3" t="str">
        <f>IFERROR(__xludf.dummyfunction("""COMPUTED_VALUE"""),"26139987")</f>
        <v>26139987</v>
      </c>
      <c r="E403" s="3" t="str">
        <f>IFERROR(__xludf.dummyfunction("""COMPUTED_VALUE"""),"INFANTIL 4")</f>
        <v>INFANTIL 4</v>
      </c>
      <c r="F403" s="3" t="str">
        <f>IFERROR(__xludf.dummyfunction("""COMPUTED_VALUE"""),"Matutino/Manhã")</f>
        <v>Matutino/Manhã</v>
      </c>
      <c r="G403" s="3" t="str">
        <f>IFERROR(__xludf.dummyfunction("""COMPUTED_VALUE"""),"Comum")</f>
        <v>Comum</v>
      </c>
      <c r="H403" s="3" t="str">
        <f>IFERROR(__xludf.dummyfunction("""COMPUTED_VALUE"""),"2")</f>
        <v>2</v>
      </c>
      <c r="I403" s="147" t="str">
        <f>IFERROR(__xludf.dummyfunction("""COMPUTED_VALUE"""),"26022857082")</f>
        <v>26022857082</v>
      </c>
      <c r="J403" s="3" t="str">
        <f>IFERROR(__xludf.dummyfunction("""COMPUTED_VALUE"""),"09/02/2026 14:55:06")</f>
        <v>09/02/2026 14:55:06</v>
      </c>
      <c r="K403" s="3" t="str">
        <f>IFERROR(__xludf.dummyfunction("""COMPUTED_VALUE"""),"AURORA RAQUEL ROSENO MACIEL")</f>
        <v>AURORA RAQUEL ROSENO MACIEL</v>
      </c>
      <c r="L403" s="146" t="str">
        <f>IFERROR(__xludf.dummyfunction("""COMPUTED_VALUE"""),"178.496.574-03")</f>
        <v>178.496.574-03</v>
      </c>
      <c r="M403" s="146" t="str">
        <f>IFERROR(__xludf.dummyfunction("""COMPUTED_VALUE"""),"17/09/2021")</f>
        <v>17/09/2021</v>
      </c>
      <c r="N403" s="3"/>
      <c r="O403" s="3" t="str">
        <f>IFERROR(__xludf.dummyfunction("""COMPUTED_VALUE"""),"0")</f>
        <v>0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 spans="1:29">
      <c r="A404" s="3"/>
      <c r="B404" s="3" t="str">
        <f t="array" ref="B404">_xlfn.XLOOKUP(D404,Tabela_Dados_Esc_JAB_2026[INEP],Tabela_Dados_Esc_JAB_2026[REGIONAL],"NE",0)</f>
        <v>REGIONAL 2</v>
      </c>
      <c r="C404" s="4" t="str">
        <f>IFERROR(__xludf.dummyfunction("""COMPUTED_VALUE"""),"ESCOLA MUNICIPAL NOSSA SENHORA DA CONCEIÇÃO")</f>
        <v>ESCOLA MUNICIPAL NOSSA SENHORA DA CONCEIÇÃO</v>
      </c>
      <c r="D404" s="3" t="str">
        <f>IFERROR(__xludf.dummyfunction("""COMPUTED_VALUE"""),"26139987")</f>
        <v>26139987</v>
      </c>
      <c r="E404" s="3" t="str">
        <f>IFERROR(__xludf.dummyfunction("""COMPUTED_VALUE"""),"INFANTIL 4")</f>
        <v>INFANTIL 4</v>
      </c>
      <c r="F404" s="3" t="str">
        <f>IFERROR(__xludf.dummyfunction("""COMPUTED_VALUE"""),"Vespertino/Tarde")</f>
        <v>Vespertino/Tarde</v>
      </c>
      <c r="G404" s="3" t="str">
        <f>IFERROR(__xludf.dummyfunction("""COMPUTED_VALUE"""),"Comum")</f>
        <v>Comum</v>
      </c>
      <c r="H404" s="3" t="str">
        <f>IFERROR(__xludf.dummyfunction("""COMPUTED_VALUE"""),"1")</f>
        <v>1</v>
      </c>
      <c r="I404" s="145" t="str">
        <f>IFERROR(__xludf.dummyfunction("""COMPUTED_VALUE"""),"26032313385")</f>
        <v>26032313385</v>
      </c>
      <c r="J404" s="3" t="str">
        <f>IFERROR(__xludf.dummyfunction("""COMPUTED_VALUE"""),"27/03/2026 00:01:46")</f>
        <v>27/03/2026 00:01:46</v>
      </c>
      <c r="K404" s="3" t="str">
        <f>IFERROR(__xludf.dummyfunction("""COMPUTED_VALUE"""),"ANTHONY GABRIEL RAPOSO GOMES DA SILVA")</f>
        <v>ANTHONY GABRIEL RAPOSO GOMES DA SILVA</v>
      </c>
      <c r="L404" s="146" t="str">
        <f>IFERROR(__xludf.dummyfunction("""COMPUTED_VALUE"""),"177.044.674-50")</f>
        <v>177.044.674-50</v>
      </c>
      <c r="M404" s="146" t="str">
        <f>IFERROR(__xludf.dummyfunction("""COMPUTED_VALUE"""),"11/06/2021")</f>
        <v>11/06/2021</v>
      </c>
      <c r="N404" s="3"/>
      <c r="O404" s="3" t="str">
        <f>IFERROR(__xludf.dummyfunction("""COMPUTED_VALUE"""),"0")</f>
        <v>0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 spans="1:29">
      <c r="A405" s="3"/>
      <c r="B405" s="3" t="str">
        <f t="array" ref="B405">_xlfn.XLOOKUP(D405,Tabela_Dados_Esc_JAB_2026[INEP],Tabela_Dados_Esc_JAB_2026[REGIONAL],"NE",0)</f>
        <v>REGIONAL 2</v>
      </c>
      <c r="C405" s="4" t="str">
        <f>IFERROR(__xludf.dummyfunction("""COMPUTED_VALUE"""),"ESCOLA MUNICIPAL NOSSA SENHORA DA CONCEIÇÃO")</f>
        <v>ESCOLA MUNICIPAL NOSSA SENHORA DA CONCEIÇÃO</v>
      </c>
      <c r="D405" s="3" t="str">
        <f>IFERROR(__xludf.dummyfunction("""COMPUTED_VALUE"""),"26139987")</f>
        <v>26139987</v>
      </c>
      <c r="E405" s="3" t="str">
        <f>IFERROR(__xludf.dummyfunction("""COMPUTED_VALUE"""),"INFANTIL 5")</f>
        <v>INFANTIL 5</v>
      </c>
      <c r="F405" s="3" t="str">
        <f>IFERROR(__xludf.dummyfunction("""COMPUTED_VALUE"""),"Matutino/Manhã")</f>
        <v>Matutino/Manhã</v>
      </c>
      <c r="G405" s="3" t="str">
        <f>IFERROR(__xludf.dummyfunction("""COMPUTED_VALUE"""),"Comum")</f>
        <v>Comum</v>
      </c>
      <c r="H405" s="3" t="str">
        <f>IFERROR(__xludf.dummyfunction("""COMPUTED_VALUE"""),"1")</f>
        <v>1</v>
      </c>
      <c r="I405" s="147" t="str">
        <f>IFERROR(__xludf.dummyfunction("""COMPUTED_VALUE"""),"26032249228")</f>
        <v>26032249228</v>
      </c>
      <c r="J405" s="3" t="str">
        <f>IFERROR(__xludf.dummyfunction("""COMPUTED_VALUE"""),"04/03/2026 11:40:39")</f>
        <v>04/03/2026 11:40:39</v>
      </c>
      <c r="K405" s="3" t="str">
        <f>IFERROR(__xludf.dummyfunction("""COMPUTED_VALUE"""),"ANA CLARA DE VASCONCELOS SANTOS")</f>
        <v>ANA CLARA DE VASCONCELOS SANTOS</v>
      </c>
      <c r="L405" s="146" t="str">
        <f>IFERROR(__xludf.dummyfunction("""COMPUTED_VALUE"""),"174.021.444-70")</f>
        <v>174.021.444-70</v>
      </c>
      <c r="M405" s="146" t="str">
        <f>IFERROR(__xludf.dummyfunction("""COMPUTED_VALUE"""),"12/09/2020")</f>
        <v>12/09/2020</v>
      </c>
      <c r="N405" s="3"/>
      <c r="O405" s="3" t="str">
        <f>IFERROR(__xludf.dummyfunction("""COMPUTED_VALUE"""),"0")</f>
        <v>0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 spans="1:29">
      <c r="A406" s="3"/>
      <c r="B406" s="3" t="str">
        <f t="array" ref="B406">_xlfn.XLOOKUP(D406,Tabela_Dados_Esc_JAB_2026[INEP],Tabela_Dados_Esc_JAB_2026[REGIONAL],"NE",0)</f>
        <v>REGIONAL 2</v>
      </c>
      <c r="C406" s="4" t="str">
        <f>IFERROR(__xludf.dummyfunction("""COMPUTED_VALUE"""),"ESCOLA MUNICIPAL NOSSA SENHORA DA CONCEIÇÃO")</f>
        <v>ESCOLA MUNICIPAL NOSSA SENHORA DA CONCEIÇÃO</v>
      </c>
      <c r="D406" s="3" t="str">
        <f>IFERROR(__xludf.dummyfunction("""COMPUTED_VALUE"""),"26139987")</f>
        <v>26139987</v>
      </c>
      <c r="E406" s="3" t="str">
        <f>IFERROR(__xludf.dummyfunction("""COMPUTED_VALUE"""),"INFANTIL 5")</f>
        <v>INFANTIL 5</v>
      </c>
      <c r="F406" s="3" t="str">
        <f>IFERROR(__xludf.dummyfunction("""COMPUTED_VALUE"""),"Vespertino/Tarde")</f>
        <v>Vespertino/Tarde</v>
      </c>
      <c r="G406" s="3" t="str">
        <f>IFERROR(__xludf.dummyfunction("""COMPUTED_VALUE"""),"Comum")</f>
        <v>Comum</v>
      </c>
      <c r="H406" s="3" t="str">
        <f>IFERROR(__xludf.dummyfunction("""COMPUTED_VALUE"""),"1")</f>
        <v>1</v>
      </c>
      <c r="I406" s="147" t="str">
        <f>IFERROR(__xludf.dummyfunction("""COMPUTED_VALUE"""),"26042569547")</f>
        <v>26042569547</v>
      </c>
      <c r="J406" s="3" t="str">
        <f>IFERROR(__xludf.dummyfunction("""COMPUTED_VALUE"""),"29/04/2026 11:08:16")</f>
        <v>29/04/2026 11:08:16</v>
      </c>
      <c r="K406" s="3" t="str">
        <f>IFERROR(__xludf.dummyfunction("""COMPUTED_VALUE"""),"FABRIELLY MARIA DA SILVA")</f>
        <v>FABRIELLY MARIA DA SILVA</v>
      </c>
      <c r="L406" s="146" t="str">
        <f>IFERROR(__xludf.dummyfunction("""COMPUTED_VALUE"""),"174.170.044-23")</f>
        <v>174.170.044-23</v>
      </c>
      <c r="M406" s="146" t="str">
        <f>IFERROR(__xludf.dummyfunction("""COMPUTED_VALUE"""),"08/11/2020")</f>
        <v>08/11/2020</v>
      </c>
      <c r="N406" s="3"/>
      <c r="O406" s="3" t="str">
        <f>IFERROR(__xludf.dummyfunction("""COMPUTED_VALUE"""),"0")</f>
        <v>0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hidden="1" customHeight="1" spans="1:29">
      <c r="A407" s="3"/>
      <c r="B407" s="3" t="str">
        <f t="array" ref="B407">_xlfn.XLOOKUP(D407,Tabela_Dados_Esc_JAB_2026[INEP],Tabela_Dados_Esc_JAB_2026[REGIONAL],"NE",0)</f>
        <v>REGIONAL 7</v>
      </c>
      <c r="C407" s="4" t="str">
        <f>IFERROR(__xludf.dummyfunction("""COMPUTED_VALUE"""),"ESCOLA MUNICIPAL NOSSA SENHORA DE FATIMA")</f>
        <v>ESCOLA MUNICIPAL NOSSA SENHORA DE FATIMA</v>
      </c>
      <c r="D407" s="3" t="str">
        <f>IFERROR(__xludf.dummyfunction("""COMPUTED_VALUE"""),"26109417")</f>
        <v>26109417</v>
      </c>
      <c r="E407" s="3" t="str">
        <f>IFERROR(__xludf.dummyfunction("""COMPUTED_VALUE"""),"INFANTIL 4")</f>
        <v>INFANTIL 4</v>
      </c>
      <c r="F407" s="3" t="str">
        <f>IFERROR(__xludf.dummyfunction("""COMPUTED_VALUE"""),"Matutino/Manhã")</f>
        <v>Matutino/Manhã</v>
      </c>
      <c r="G407" s="3" t="str">
        <f>IFERROR(__xludf.dummyfunction("""COMPUTED_VALUE"""),"Comum")</f>
        <v>Comum</v>
      </c>
      <c r="H407" s="3" t="str">
        <f>IFERROR(__xludf.dummyfunction("""COMPUTED_VALUE"""),"1")</f>
        <v>1</v>
      </c>
      <c r="I407" s="147" t="str">
        <f>IFERROR(__xludf.dummyfunction("""COMPUTED_VALUE"""),"26012175876")</f>
        <v>26012175876</v>
      </c>
      <c r="J407" s="3" t="str">
        <f>IFERROR(__xludf.dummyfunction("""COMPUTED_VALUE"""),"28/01/2026 08:30:12")</f>
        <v>28/01/2026 08:30:12</v>
      </c>
      <c r="K407" s="3" t="str">
        <f>IFERROR(__xludf.dummyfunction("""COMPUTED_VALUE"""),"MARIA LETICIA DA SILVA  DOS SANTOS")</f>
        <v>MARIA LETICIA DA SILVA  DOS SANTOS</v>
      </c>
      <c r="L407" s="146" t="str">
        <f>IFERROR(__xludf.dummyfunction("""COMPUTED_VALUE"""),"177.334.924-40")</f>
        <v>177.334.924-40</v>
      </c>
      <c r="M407" s="146" t="str">
        <f>IFERROR(__xludf.dummyfunction("""COMPUTED_VALUE"""),"07/07/2021")</f>
        <v>07/07/2021</v>
      </c>
      <c r="N407" s="3"/>
      <c r="O407" s="3" t="str">
        <f>IFERROR(__xludf.dummyfunction("""COMPUTED_VALUE"""),"0")</f>
        <v>0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hidden="1" customHeight="1" spans="1:29">
      <c r="A408" s="3"/>
      <c r="B408" s="3" t="str">
        <f t="array" ref="B408">_xlfn.XLOOKUP(D408,Tabela_Dados_Esc_JAB_2026[INEP],Tabela_Dados_Esc_JAB_2026[REGIONAL],"NE",0)</f>
        <v>REGIONAL 7</v>
      </c>
      <c r="C408" s="4" t="str">
        <f>IFERROR(__xludf.dummyfunction("""COMPUTED_VALUE"""),"ESCOLA MUNICIPAL NOSSA SENHORA DE FATIMA")</f>
        <v>ESCOLA MUNICIPAL NOSSA SENHORA DE FATIMA</v>
      </c>
      <c r="D408" s="3" t="str">
        <f>IFERROR(__xludf.dummyfunction("""COMPUTED_VALUE"""),"26109417")</f>
        <v>26109417</v>
      </c>
      <c r="E408" s="3" t="str">
        <f>IFERROR(__xludf.dummyfunction("""COMPUTED_VALUE"""),"INFANTIL 4")</f>
        <v>INFANTIL 4</v>
      </c>
      <c r="F408" s="3" t="str">
        <f>IFERROR(__xludf.dummyfunction("""COMPUTED_VALUE"""),"Matutino/Manhã")</f>
        <v>Matutino/Manhã</v>
      </c>
      <c r="G408" s="3" t="str">
        <f>IFERROR(__xludf.dummyfunction("""COMPUTED_VALUE"""),"Comum")</f>
        <v>Comum</v>
      </c>
      <c r="H408" s="3" t="str">
        <f>IFERROR(__xludf.dummyfunction("""COMPUTED_VALUE"""),"2")</f>
        <v>2</v>
      </c>
      <c r="I408" s="145" t="str">
        <f>IFERROR(__xludf.dummyfunction("""COMPUTED_VALUE"""),"26012074325")</f>
        <v>26012074325</v>
      </c>
      <c r="J408" s="3" t="str">
        <f>IFERROR(__xludf.dummyfunction("""COMPUTED_VALUE"""),"29/01/2026 12:05:04")</f>
        <v>29/01/2026 12:05:04</v>
      </c>
      <c r="K408" s="3" t="str">
        <f>IFERROR(__xludf.dummyfunction("""COMPUTED_VALUE"""),"RUI DE FREITAS SALLES NETO")</f>
        <v>RUI DE FREITAS SALLES NETO</v>
      </c>
      <c r="L408" s="146" t="str">
        <f>IFERROR(__xludf.dummyfunction("""COMPUTED_VALUE"""),"178.934.424-76")</f>
        <v>178.934.424-76</v>
      </c>
      <c r="M408" s="146" t="str">
        <f>IFERROR(__xludf.dummyfunction("""COMPUTED_VALUE"""),"23/08/2021")</f>
        <v>23/08/2021</v>
      </c>
      <c r="N408" s="3"/>
      <c r="O408" s="3" t="str">
        <f>IFERROR(__xludf.dummyfunction("""COMPUTED_VALUE"""),"0")</f>
        <v>0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hidden="1" customHeight="1" spans="1:29">
      <c r="A409" s="3"/>
      <c r="B409" s="3" t="str">
        <f t="array" ref="B409">_xlfn.XLOOKUP(D409,Tabela_Dados_Esc_JAB_2026[INEP],Tabela_Dados_Esc_JAB_2026[REGIONAL],"NE",0)</f>
        <v>REGIONAL 7</v>
      </c>
      <c r="C409" s="4" t="str">
        <f>IFERROR(__xludf.dummyfunction("""COMPUTED_VALUE"""),"ESCOLA MUNICIPAL NOSSA SENHORA DE FATIMA")</f>
        <v>ESCOLA MUNICIPAL NOSSA SENHORA DE FATIMA</v>
      </c>
      <c r="D409" s="3" t="str">
        <f>IFERROR(__xludf.dummyfunction("""COMPUTED_VALUE"""),"26109417")</f>
        <v>26109417</v>
      </c>
      <c r="E409" s="3" t="str">
        <f>IFERROR(__xludf.dummyfunction("""COMPUTED_VALUE"""),"INFANTIL 4")</f>
        <v>INFANTIL 4</v>
      </c>
      <c r="F409" s="3" t="str">
        <f>IFERROR(__xludf.dummyfunction("""COMPUTED_VALUE"""),"Matutino/Manhã")</f>
        <v>Matutino/Manhã</v>
      </c>
      <c r="G409" s="3" t="str">
        <f>IFERROR(__xludf.dummyfunction("""COMPUTED_VALUE"""),"Comum")</f>
        <v>Comum</v>
      </c>
      <c r="H409" s="3" t="str">
        <f>IFERROR(__xludf.dummyfunction("""COMPUTED_VALUE"""),"3")</f>
        <v>3</v>
      </c>
      <c r="I409" s="145" t="str">
        <f>IFERROR(__xludf.dummyfunction("""COMPUTED_VALUE"""),"26032086981")</f>
        <v>26032086981</v>
      </c>
      <c r="J409" s="3" t="str">
        <f>IFERROR(__xludf.dummyfunction("""COMPUTED_VALUE"""),"05/03/2026 15:12:55")</f>
        <v>05/03/2026 15:12:55</v>
      </c>
      <c r="K409" s="3" t="str">
        <f>IFERROR(__xludf.dummyfunction("""COMPUTED_VALUE"""),"LUCCA LORENZO MARCIONILO MALTA")</f>
        <v>LUCCA LORENZO MARCIONILO MALTA</v>
      </c>
      <c r="L409" s="146" t="str">
        <f>IFERROR(__xludf.dummyfunction("""COMPUTED_VALUE"""),"179.345.684-44")</f>
        <v>179.345.684-44</v>
      </c>
      <c r="M409" s="146" t="str">
        <f>IFERROR(__xludf.dummyfunction("""COMPUTED_VALUE"""),"08/11/2021")</f>
        <v>08/11/2021</v>
      </c>
      <c r="N409" s="3"/>
      <c r="O409" s="3" t="str">
        <f>IFERROR(__xludf.dummyfunction("""COMPUTED_VALUE"""),"0")</f>
        <v>0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hidden="1" customHeight="1" spans="1:29">
      <c r="A410" s="3"/>
      <c r="B410" s="3" t="str">
        <f t="array" ref="B410">_xlfn.XLOOKUP(D410,Tabela_Dados_Esc_JAB_2026[INEP],Tabela_Dados_Esc_JAB_2026[REGIONAL],"NE",0)</f>
        <v>REGIONAL 7</v>
      </c>
      <c r="C410" s="4" t="str">
        <f>IFERROR(__xludf.dummyfunction("""COMPUTED_VALUE"""),"ESCOLA MUNICIPAL NOSSA SENHORA DE FATIMA")</f>
        <v>ESCOLA MUNICIPAL NOSSA SENHORA DE FATIMA</v>
      </c>
      <c r="D410" s="3" t="str">
        <f>IFERROR(__xludf.dummyfunction("""COMPUTED_VALUE"""),"26109417")</f>
        <v>26109417</v>
      </c>
      <c r="E410" s="3" t="str">
        <f>IFERROR(__xludf.dummyfunction("""COMPUTED_VALUE"""),"INFANTIL 4")</f>
        <v>INFANTIL 4</v>
      </c>
      <c r="F410" s="3" t="str">
        <f>IFERROR(__xludf.dummyfunction("""COMPUTED_VALUE"""),"Vespertino/Tarde")</f>
        <v>Vespertino/Tarde</v>
      </c>
      <c r="G410" s="3" t="str">
        <f>IFERROR(__xludf.dummyfunction("""COMPUTED_VALUE"""),"Comum")</f>
        <v>Comum</v>
      </c>
      <c r="H410" s="3" t="str">
        <f>IFERROR(__xludf.dummyfunction("""COMPUTED_VALUE"""),"1")</f>
        <v>1</v>
      </c>
      <c r="I410" s="145" t="str">
        <f>IFERROR(__xludf.dummyfunction("""COMPUTED_VALUE"""),"26012775453")</f>
        <v>26012775453</v>
      </c>
      <c r="J410" s="3" t="str">
        <f>IFERROR(__xludf.dummyfunction("""COMPUTED_VALUE"""),"28/01/2026 08:37:10")</f>
        <v>28/01/2026 08:37:10</v>
      </c>
      <c r="K410" s="3" t="str">
        <f>IFERROR(__xludf.dummyfunction("""COMPUTED_VALUE"""),"ROBERT BENÍCIO DA SILVA QUARESMA")</f>
        <v>ROBERT BENÍCIO DA SILVA QUARESMA</v>
      </c>
      <c r="L410" s="146" t="str">
        <f>IFERROR(__xludf.dummyfunction("""COMPUTED_VALUE"""),"180.371.084-57")</f>
        <v>180.371.084-57</v>
      </c>
      <c r="M410" s="146" t="str">
        <f>IFERROR(__xludf.dummyfunction("""COMPUTED_VALUE"""),"11/01/2022")</f>
        <v>11/01/2022</v>
      </c>
      <c r="N410" s="3"/>
      <c r="O410" s="3" t="str">
        <f>IFERROR(__xludf.dummyfunction("""COMPUTED_VALUE"""),"0")</f>
        <v>0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hidden="1" customHeight="1" spans="1:29">
      <c r="A411" s="3"/>
      <c r="B411" s="3" t="str">
        <f t="array" ref="B411">_xlfn.XLOOKUP(D411,Tabela_Dados_Esc_JAB_2026[INEP],Tabela_Dados_Esc_JAB_2026[REGIONAL],"NE",0)</f>
        <v>REGIONAL 7</v>
      </c>
      <c r="C411" s="4" t="str">
        <f>IFERROR(__xludf.dummyfunction("""COMPUTED_VALUE"""),"ESCOLA MUNICIPAL NOSSA SENHORA DE FATIMA")</f>
        <v>ESCOLA MUNICIPAL NOSSA SENHORA DE FATIMA</v>
      </c>
      <c r="D411" s="3" t="str">
        <f>IFERROR(__xludf.dummyfunction("""COMPUTED_VALUE"""),"26109417")</f>
        <v>26109417</v>
      </c>
      <c r="E411" s="3" t="str">
        <f>IFERROR(__xludf.dummyfunction("""COMPUTED_VALUE"""),"INFANTIL 4")</f>
        <v>INFANTIL 4</v>
      </c>
      <c r="F411" s="3" t="str">
        <f>IFERROR(__xludf.dummyfunction("""COMPUTED_VALUE"""),"Vespertino/Tarde")</f>
        <v>Vespertino/Tarde</v>
      </c>
      <c r="G411" s="3" t="str">
        <f>IFERROR(__xludf.dummyfunction("""COMPUTED_VALUE"""),"Comum")</f>
        <v>Comum</v>
      </c>
      <c r="H411" s="3" t="str">
        <f>IFERROR(__xludf.dummyfunction("""COMPUTED_VALUE"""),"2")</f>
        <v>2</v>
      </c>
      <c r="I411" s="145" t="str">
        <f>IFERROR(__xludf.dummyfunction("""COMPUTED_VALUE"""),"26012175189")</f>
        <v>26012175189</v>
      </c>
      <c r="J411" s="3" t="str">
        <f>IFERROR(__xludf.dummyfunction("""COMPUTED_VALUE"""),"29/01/2026 10:59:28")</f>
        <v>29/01/2026 10:59:28</v>
      </c>
      <c r="K411" s="3" t="str">
        <f>IFERROR(__xludf.dummyfunction("""COMPUTED_VALUE"""),"GEOVANA BEATRIZ DA SILVA")</f>
        <v>GEOVANA BEATRIZ DA SILVA</v>
      </c>
      <c r="L411" s="146" t="str">
        <f>IFERROR(__xludf.dummyfunction("""COMPUTED_VALUE"""),"177.059.234-24")</f>
        <v>177.059.234-24</v>
      </c>
      <c r="M411" s="146" t="str">
        <f>IFERROR(__xludf.dummyfunction("""COMPUTED_VALUE"""),"12/06/2021")</f>
        <v>12/06/2021</v>
      </c>
      <c r="N411" s="3"/>
      <c r="O411" s="3" t="str">
        <f>IFERROR(__xludf.dummyfunction("""COMPUTED_VALUE"""),"0")</f>
        <v>0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hidden="1" customHeight="1" spans="1:29">
      <c r="A412" s="3"/>
      <c r="B412" s="3" t="str">
        <f t="array" ref="B412">_xlfn.XLOOKUP(D412,Tabela_Dados_Esc_JAB_2026[INEP],Tabela_Dados_Esc_JAB_2026[REGIONAL],"NE",0)</f>
        <v>REGIONAL 7</v>
      </c>
      <c r="C412" s="4" t="str">
        <f>IFERROR(__xludf.dummyfunction("""COMPUTED_VALUE"""),"ESCOLA MUNICIPAL NOSSA SENHORA DE FATIMA")</f>
        <v>ESCOLA MUNICIPAL NOSSA SENHORA DE FATIMA</v>
      </c>
      <c r="D412" s="3" t="str">
        <f>IFERROR(__xludf.dummyfunction("""COMPUTED_VALUE"""),"26109417")</f>
        <v>26109417</v>
      </c>
      <c r="E412" s="3" t="str">
        <f>IFERROR(__xludf.dummyfunction("""COMPUTED_VALUE"""),"INFANTIL 4")</f>
        <v>INFANTIL 4</v>
      </c>
      <c r="F412" s="3" t="str">
        <f>IFERROR(__xludf.dummyfunction("""COMPUTED_VALUE"""),"Vespertino/Tarde")</f>
        <v>Vespertino/Tarde</v>
      </c>
      <c r="G412" s="3" t="str">
        <f>IFERROR(__xludf.dummyfunction("""COMPUTED_VALUE"""),"Comum")</f>
        <v>Comum</v>
      </c>
      <c r="H412" s="3" t="str">
        <f>IFERROR(__xludf.dummyfunction("""COMPUTED_VALUE"""),"3")</f>
        <v>3</v>
      </c>
      <c r="I412" s="145" t="str">
        <f>IFERROR(__xludf.dummyfunction("""COMPUTED_VALUE"""),"26012715363")</f>
        <v>26012715363</v>
      </c>
      <c r="J412" s="3" t="str">
        <f>IFERROR(__xludf.dummyfunction("""COMPUTED_VALUE"""),"29/01/2026 11:30:25")</f>
        <v>29/01/2026 11:30:25</v>
      </c>
      <c r="K412" s="3" t="str">
        <f>IFERROR(__xludf.dummyfunction("""COMPUTED_VALUE"""),"ARTHUR HENRIQUE ALVES DA SILVA")</f>
        <v>ARTHUR HENRIQUE ALVES DA SILVA</v>
      </c>
      <c r="L412" s="146" t="str">
        <f>IFERROR(__xludf.dummyfunction("""COMPUTED_VALUE"""),"177.774.854-23")</f>
        <v>177.774.854-23</v>
      </c>
      <c r="M412" s="146" t="str">
        <f>IFERROR(__xludf.dummyfunction("""COMPUTED_VALUE"""),"20/07/2021")</f>
        <v>20/07/2021</v>
      </c>
      <c r="N412" s="3"/>
      <c r="O412" s="3" t="str">
        <f>IFERROR(__xludf.dummyfunction("""COMPUTED_VALUE"""),"0")</f>
        <v>0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 spans="1:29">
      <c r="A413" s="3"/>
      <c r="B413" s="3" t="str">
        <f t="array" ref="B413">_xlfn.XLOOKUP(D413,Tabela_Dados_Esc_JAB_2026[INEP],Tabela_Dados_Esc_JAB_2026[REGIONAL],"NE",0)</f>
        <v>REGIONAL 2</v>
      </c>
      <c r="C413" s="4" t="str">
        <f>IFERROR(__xludf.dummyfunction("""COMPUTED_VALUE"""),"ESCOLA MUNICIPAL OLAVO BILAC")</f>
        <v>ESCOLA MUNICIPAL OLAVO BILAC</v>
      </c>
      <c r="D413" s="3" t="str">
        <f>IFERROR(__xludf.dummyfunction("""COMPUTED_VALUE"""),"26177579")</f>
        <v>26177579</v>
      </c>
      <c r="E413" s="3" t="str">
        <f>IFERROR(__xludf.dummyfunction("""COMPUTED_VALUE"""),"INFANTIL 4")</f>
        <v>INFANTIL 4</v>
      </c>
      <c r="F413" s="3" t="str">
        <f>IFERROR(__xludf.dummyfunction("""COMPUTED_VALUE"""),"Vespertino/Tarde")</f>
        <v>Vespertino/Tarde</v>
      </c>
      <c r="G413" s="3" t="str">
        <f>IFERROR(__xludf.dummyfunction("""COMPUTED_VALUE"""),"Comum")</f>
        <v>Comum</v>
      </c>
      <c r="H413" s="3" t="str">
        <f>IFERROR(__xludf.dummyfunction("""COMPUTED_VALUE"""),"1")</f>
        <v>1</v>
      </c>
      <c r="I413" s="147" t="str">
        <f>IFERROR(__xludf.dummyfunction("""COMPUTED_VALUE"""),"26092399090")</f>
        <v>26092399090</v>
      </c>
      <c r="J413" s="3" t="str">
        <f>IFERROR(__xludf.dummyfunction("""COMPUTED_VALUE"""),"14/09/2026 11:12:56")</f>
        <v>14/09/2026 11:12:56</v>
      </c>
      <c r="K413" s="3" t="str">
        <f>IFERROR(__xludf.dummyfunction("""COMPUTED_VALUE"""),"Enzo Miguel Oliveira da Silva")</f>
        <v>Enzo Miguel Oliveira da Silva</v>
      </c>
      <c r="L413" s="146" t="str">
        <f>IFERROR(__xludf.dummyfunction("""COMPUTED_VALUE"""),"179.402.404-20")</f>
        <v>179.402.404-20</v>
      </c>
      <c r="M413" s="146" t="str">
        <f>IFERROR(__xludf.dummyfunction("""COMPUTED_VALUE"""),"05/11/2021")</f>
        <v>05/11/2021</v>
      </c>
      <c r="N413" s="3"/>
      <c r="O413" s="3" t="str">
        <f>IFERROR(__xludf.dummyfunction("""COMPUTED_VALUE"""),"0")</f>
        <v>0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hidden="1" customHeight="1" spans="1:29">
      <c r="A414" s="3"/>
      <c r="B414" s="3" t="str">
        <f t="array" ref="B414">_xlfn.XLOOKUP(D414,Tabela_Dados_Esc_JAB_2026[INEP],Tabela_Dados_Esc_JAB_2026[REGIONAL],"NE",0)</f>
        <v>REGIONAL 1</v>
      </c>
      <c r="C414" s="4" t="str">
        <f>IFERROR(__xludf.dummyfunction("""COMPUTED_VALUE"""),"ESCOLA MUNICIPAL POETA VINICIUS DE MORAIS")</f>
        <v>ESCOLA MUNICIPAL POETA VINICIUS DE MORAIS</v>
      </c>
      <c r="D414" s="3" t="str">
        <f>IFERROR(__xludf.dummyfunction("""COMPUTED_VALUE"""),"26109239")</f>
        <v>26109239</v>
      </c>
      <c r="E414" s="3" t="str">
        <f>IFERROR(__xludf.dummyfunction("""COMPUTED_VALUE"""),"INFANTIL 4")</f>
        <v>INFANTIL 4</v>
      </c>
      <c r="F414" s="3" t="str">
        <f>IFERROR(__xludf.dummyfunction("""COMPUTED_VALUE"""),"Matutino/Manhã")</f>
        <v>Matutino/Manhã</v>
      </c>
      <c r="G414" s="3" t="str">
        <f>IFERROR(__xludf.dummyfunction("""COMPUTED_VALUE"""),"Comum")</f>
        <v>Comum</v>
      </c>
      <c r="H414" s="3" t="str">
        <f>IFERROR(__xludf.dummyfunction("""COMPUTED_VALUE"""),"1")</f>
        <v>1</v>
      </c>
      <c r="I414" s="147" t="str">
        <f>IFERROR(__xludf.dummyfunction("""COMPUTED_VALUE"""),"26082195363")</f>
        <v>26082195363</v>
      </c>
      <c r="J414" s="3" t="str">
        <f>IFERROR(__xludf.dummyfunction("""COMPUTED_VALUE"""),"11/08/2026 09:33:27")</f>
        <v>11/08/2026 09:33:27</v>
      </c>
      <c r="K414" s="3" t="str">
        <f>IFERROR(__xludf.dummyfunction("""COMPUTED_VALUE"""),"EDNA MARIA DE OLIVEIRA")</f>
        <v>EDNA MARIA DE OLIVEIRA</v>
      </c>
      <c r="L414" s="146" t="str">
        <f>IFERROR(__xludf.dummyfunction("""COMPUTED_VALUE"""),"181.359.394-93")</f>
        <v>181.359.394-93</v>
      </c>
      <c r="M414" s="146" t="str">
        <f>IFERROR(__xludf.dummyfunction("""COMPUTED_VALUE"""),"26/02/2022")</f>
        <v>26/02/2022</v>
      </c>
      <c r="N414" s="3"/>
      <c r="O414" s="3" t="str">
        <f>IFERROR(__xludf.dummyfunction("""COMPUTED_VALUE"""),"0")</f>
        <v>0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hidden="1" customHeight="1" spans="1:29">
      <c r="A415" s="3"/>
      <c r="B415" s="3" t="str">
        <f t="array" ref="B415">_xlfn.XLOOKUP(D415,Tabela_Dados_Esc_JAB_2026[INEP],Tabela_Dados_Esc_JAB_2026[REGIONAL],"NE",0)</f>
        <v>REGIONAL 1</v>
      </c>
      <c r="C415" s="4" t="str">
        <f>IFERROR(__xludf.dummyfunction("""COMPUTED_VALUE"""),"ESCOLA MUNICIPAL POETA VINICIUS DE MORAIS")</f>
        <v>ESCOLA MUNICIPAL POETA VINICIUS DE MORAIS</v>
      </c>
      <c r="D415" s="3" t="str">
        <f>IFERROR(__xludf.dummyfunction("""COMPUTED_VALUE"""),"26109239")</f>
        <v>26109239</v>
      </c>
      <c r="E415" s="3" t="str">
        <f>IFERROR(__xludf.dummyfunction("""COMPUTED_VALUE"""),"INFANTIL 4")</f>
        <v>INFANTIL 4</v>
      </c>
      <c r="F415" s="3" t="str">
        <f>IFERROR(__xludf.dummyfunction("""COMPUTED_VALUE"""),"Vespertino/Tarde")</f>
        <v>Vespertino/Tarde</v>
      </c>
      <c r="G415" s="3" t="str">
        <f>IFERROR(__xludf.dummyfunction("""COMPUTED_VALUE"""),"Comum")</f>
        <v>Comum</v>
      </c>
      <c r="H415" s="3" t="str">
        <f>IFERROR(__xludf.dummyfunction("""COMPUTED_VALUE"""),"1")</f>
        <v>1</v>
      </c>
      <c r="I415" s="147" t="str">
        <f>IFERROR(__xludf.dummyfunction("""COMPUTED_VALUE"""),"26022124778")</f>
        <v>26022124778</v>
      </c>
      <c r="J415" s="3" t="str">
        <f>IFERROR(__xludf.dummyfunction("""COMPUTED_VALUE"""),"03/02/2026 11:30:10")</f>
        <v>03/02/2026 11:30:10</v>
      </c>
      <c r="K415" s="3" t="str">
        <f>IFERROR(__xludf.dummyfunction("""COMPUTED_VALUE"""),"THALYSSON DAVID FARIAS DA SILVA")</f>
        <v>THALYSSON DAVID FARIAS DA SILVA</v>
      </c>
      <c r="L415" s="146" t="str">
        <f>IFERROR(__xludf.dummyfunction("""COMPUTED_VALUE"""),"177.691.954-89")</f>
        <v>177.691.954-89</v>
      </c>
      <c r="M415" s="146" t="str">
        <f>IFERROR(__xludf.dummyfunction("""COMPUTED_VALUE"""),"18/07/2021")</f>
        <v>18/07/2021</v>
      </c>
      <c r="N415" s="3"/>
      <c r="O415" s="3" t="str">
        <f>IFERROR(__xludf.dummyfunction("""COMPUTED_VALUE"""),"0")</f>
        <v>0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hidden="1" customHeight="1" spans="1:29">
      <c r="A416" s="3"/>
      <c r="B416" s="3" t="str">
        <f t="array" ref="B416">_xlfn.XLOOKUP(D416,Tabela_Dados_Esc_JAB_2026[INEP],Tabela_Dados_Esc_JAB_2026[REGIONAL],"NE",0)</f>
        <v>REGIONAL 1</v>
      </c>
      <c r="C416" s="4" t="str">
        <f>IFERROR(__xludf.dummyfunction("""COMPUTED_VALUE"""),"ESCOLA MUNICIPAL POETA VINICIUS DE MORAIS")</f>
        <v>ESCOLA MUNICIPAL POETA VINICIUS DE MORAIS</v>
      </c>
      <c r="D416" s="3" t="str">
        <f>IFERROR(__xludf.dummyfunction("""COMPUTED_VALUE"""),"26109239")</f>
        <v>26109239</v>
      </c>
      <c r="E416" s="3" t="str">
        <f>IFERROR(__xludf.dummyfunction("""COMPUTED_VALUE"""),"INFANTIL 4")</f>
        <v>INFANTIL 4</v>
      </c>
      <c r="F416" s="3" t="str">
        <f>IFERROR(__xludf.dummyfunction("""COMPUTED_VALUE"""),"Vespertino/Tarde")</f>
        <v>Vespertino/Tarde</v>
      </c>
      <c r="G416" s="3" t="str">
        <f>IFERROR(__xludf.dummyfunction("""COMPUTED_VALUE"""),"Comum")</f>
        <v>Comum</v>
      </c>
      <c r="H416" s="3" t="str">
        <f>IFERROR(__xludf.dummyfunction("""COMPUTED_VALUE"""),"2")</f>
        <v>2</v>
      </c>
      <c r="I416" s="147" t="str">
        <f>IFERROR(__xludf.dummyfunction("""COMPUTED_VALUE"""),"26042713506")</f>
        <v>26042713506</v>
      </c>
      <c r="J416" s="3" t="str">
        <f>IFERROR(__xludf.dummyfunction("""COMPUTED_VALUE"""),"24/04/2026 19:53:17")</f>
        <v>24/04/2026 19:53:17</v>
      </c>
      <c r="K416" s="3" t="str">
        <f>IFERROR(__xludf.dummyfunction("""COMPUTED_VALUE"""),"MARIA ALICIA LOPES DOS SANTOS FERREIRA")</f>
        <v>MARIA ALICIA LOPES DOS SANTOS FERREIRA</v>
      </c>
      <c r="L416" s="146" t="str">
        <f>IFERROR(__xludf.dummyfunction("""COMPUTED_VALUE"""),"178.026.414-38")</f>
        <v>178.026.414-38</v>
      </c>
      <c r="M416" s="146" t="str">
        <f>IFERROR(__xludf.dummyfunction("""COMPUTED_VALUE"""),"22/08/2021")</f>
        <v>22/08/2021</v>
      </c>
      <c r="N416" s="3"/>
      <c r="O416" s="3" t="str">
        <f>IFERROR(__xludf.dummyfunction("""COMPUTED_VALUE"""),"0")</f>
        <v>0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hidden="1" customHeight="1" spans="1:29">
      <c r="A417" s="3"/>
      <c r="B417" s="3" t="str">
        <f t="array" ref="B417">_xlfn.XLOOKUP(D417,Tabela_Dados_Esc_JAB_2026[INEP],Tabela_Dados_Esc_JAB_2026[REGIONAL],"NE",0)</f>
        <v>REGIONAL 6</v>
      </c>
      <c r="C417" s="4" t="str">
        <f>IFERROR(__xludf.dummyfunction("""COMPUTED_VALUE"""),"ESCOLA MUNICIPAL PROFESSOR ALMIR OLÍMPIO ALVES")</f>
        <v>ESCOLA MUNICIPAL PROFESSOR ALMIR OLÍMPIO ALVES</v>
      </c>
      <c r="D417" s="3" t="str">
        <f>IFERROR(__xludf.dummyfunction("""COMPUTED_VALUE"""),"26137755")</f>
        <v>26137755</v>
      </c>
      <c r="E417" s="3" t="str">
        <f>IFERROR(__xludf.dummyfunction("""COMPUTED_VALUE"""),"INFANTIL 5")</f>
        <v>INFANTIL 5</v>
      </c>
      <c r="F417" s="3" t="str">
        <f>IFERROR(__xludf.dummyfunction("""COMPUTED_VALUE"""),"Matutino/Manhã")</f>
        <v>Matutino/Manhã</v>
      </c>
      <c r="G417" s="3" t="str">
        <f>IFERROR(__xludf.dummyfunction("""COMPUTED_VALUE"""),"Comum")</f>
        <v>Comum</v>
      </c>
      <c r="H417" s="3" t="str">
        <f>IFERROR(__xludf.dummyfunction("""COMPUTED_VALUE"""),"1")</f>
        <v>1</v>
      </c>
      <c r="I417" s="147" t="str">
        <f>IFERROR(__xludf.dummyfunction("""COMPUTED_VALUE"""),"26012598772")</f>
        <v>26012598772</v>
      </c>
      <c r="J417" s="3" t="str">
        <f>IFERROR(__xludf.dummyfunction("""COMPUTED_VALUE"""),"29/01/2026 08:31:46")</f>
        <v>29/01/2026 08:31:46</v>
      </c>
      <c r="K417" s="3" t="str">
        <f>IFERROR(__xludf.dummyfunction("""COMPUTED_VALUE"""),"BRUNO SERAFIM DE OLIVEIRA")</f>
        <v>BRUNO SERAFIM DE OLIVEIRA</v>
      </c>
      <c r="L417" s="146" t="str">
        <f>IFERROR(__xludf.dummyfunction("""COMPUTED_VALUE"""),"176.118.554-33")</f>
        <v>176.118.554-33</v>
      </c>
      <c r="M417" s="146" t="str">
        <f>IFERROR(__xludf.dummyfunction("""COMPUTED_VALUE"""),"30/03/2021")</f>
        <v>30/03/2021</v>
      </c>
      <c r="N417" s="3"/>
      <c r="O417" s="3" t="str">
        <f>IFERROR(__xludf.dummyfunction("""COMPUTED_VALUE"""),"0")</f>
        <v>0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hidden="1" customHeight="1" spans="1:29">
      <c r="A418" s="3"/>
      <c r="B418" s="3" t="str">
        <f t="array" ref="B418">_xlfn.XLOOKUP(D418,Tabela_Dados_Esc_JAB_2026[INEP],Tabela_Dados_Esc_JAB_2026[REGIONAL],"NE",0)</f>
        <v>REGIONAL 6</v>
      </c>
      <c r="C418" s="4" t="str">
        <f>IFERROR(__xludf.dummyfunction("""COMPUTED_VALUE"""),"ESCOLA MUNICIPAL PROFESSOR ALMIR OLÍMPIO ALVES")</f>
        <v>ESCOLA MUNICIPAL PROFESSOR ALMIR OLÍMPIO ALVES</v>
      </c>
      <c r="D418" s="3" t="str">
        <f>IFERROR(__xludf.dummyfunction("""COMPUTED_VALUE"""),"26137755")</f>
        <v>26137755</v>
      </c>
      <c r="E418" s="3" t="str">
        <f>IFERROR(__xludf.dummyfunction("""COMPUTED_VALUE"""),"INFANTIL 5")</f>
        <v>INFANTIL 5</v>
      </c>
      <c r="F418" s="3" t="str">
        <f>IFERROR(__xludf.dummyfunction("""COMPUTED_VALUE"""),"Matutino/Manhã")</f>
        <v>Matutino/Manhã</v>
      </c>
      <c r="G418" s="3" t="str">
        <f>IFERROR(__xludf.dummyfunction("""COMPUTED_VALUE"""),"Comum")</f>
        <v>Comum</v>
      </c>
      <c r="H418" s="3" t="str">
        <f>IFERROR(__xludf.dummyfunction("""COMPUTED_VALUE"""),"2")</f>
        <v>2</v>
      </c>
      <c r="I418" s="147" t="str">
        <f>IFERROR(__xludf.dummyfunction("""COMPUTED_VALUE"""),"26022096897")</f>
        <v>26022096897</v>
      </c>
      <c r="J418" s="3" t="str">
        <f>IFERROR(__xludf.dummyfunction("""COMPUTED_VALUE"""),"11/02/2026 14:33:54")</f>
        <v>11/02/2026 14:33:54</v>
      </c>
      <c r="K418" s="3" t="str">
        <f>IFERROR(__xludf.dummyfunction("""COMPUTED_VALUE"""),"JÚLIA LORAYNNE FERREIRA FARIAS")</f>
        <v>JÚLIA LORAYNNE FERREIRA FARIAS</v>
      </c>
      <c r="L418" s="146" t="str">
        <f>IFERROR(__xludf.dummyfunction("""COMPUTED_VALUE"""),"173.132.764-19")</f>
        <v>173.132.764-19</v>
      </c>
      <c r="M418" s="146" t="str">
        <f>IFERROR(__xludf.dummyfunction("""COMPUTED_VALUE"""),"19/07/2020")</f>
        <v>19/07/2020</v>
      </c>
      <c r="N418" s="3"/>
      <c r="O418" s="3" t="str">
        <f>IFERROR(__xludf.dummyfunction("""COMPUTED_VALUE"""),"0")</f>
        <v>0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hidden="1" customHeight="1" spans="1:29">
      <c r="A419" s="3"/>
      <c r="B419" s="3" t="str">
        <f t="array" ref="B419">_xlfn.XLOOKUP(D419,Tabela_Dados_Esc_JAB_2026[INEP],Tabela_Dados_Esc_JAB_2026[REGIONAL],"NE",0)</f>
        <v>REGIONAL 6</v>
      </c>
      <c r="C419" s="4" t="str">
        <f>IFERROR(__xludf.dummyfunction("""COMPUTED_VALUE"""),"ESCOLA MUNICIPAL PROFESSOR ALMIR OLÍMPIO ALVES")</f>
        <v>ESCOLA MUNICIPAL PROFESSOR ALMIR OLÍMPIO ALVES</v>
      </c>
      <c r="D419" s="3" t="str">
        <f>IFERROR(__xludf.dummyfunction("""COMPUTED_VALUE"""),"26137755")</f>
        <v>26137755</v>
      </c>
      <c r="E419" s="3" t="str">
        <f>IFERROR(__xludf.dummyfunction("""COMPUTED_VALUE"""),"INFANTIL 5")</f>
        <v>INFANTIL 5</v>
      </c>
      <c r="F419" s="3" t="str">
        <f>IFERROR(__xludf.dummyfunction("""COMPUTED_VALUE"""),"Matutino/Manhã")</f>
        <v>Matutino/Manhã</v>
      </c>
      <c r="G419" s="3" t="str">
        <f>IFERROR(__xludf.dummyfunction("""COMPUTED_VALUE"""),"Comum")</f>
        <v>Comum</v>
      </c>
      <c r="H419" s="3" t="str">
        <f>IFERROR(__xludf.dummyfunction("""COMPUTED_VALUE"""),"3")</f>
        <v>3</v>
      </c>
      <c r="I419" s="147" t="str">
        <f>IFERROR(__xludf.dummyfunction("""COMPUTED_VALUE"""),"26032296590")</f>
        <v>26032296590</v>
      </c>
      <c r="J419" s="3" t="str">
        <f>IFERROR(__xludf.dummyfunction("""COMPUTED_VALUE"""),"04/03/2026 11:01:35")</f>
        <v>04/03/2026 11:01:35</v>
      </c>
      <c r="K419" s="3" t="str">
        <f>IFERROR(__xludf.dummyfunction("""COMPUTED_VALUE"""),"RHILLARY GABRIELY SANTANA DA SILVA")</f>
        <v>RHILLARY GABRIELY SANTANA DA SILVA</v>
      </c>
      <c r="L419" s="146" t="str">
        <f>IFERROR(__xludf.dummyfunction("""COMPUTED_VALUE"""),"172.998.394-40")</f>
        <v>172.998.394-40</v>
      </c>
      <c r="M419" s="146" t="str">
        <f>IFERROR(__xludf.dummyfunction("""COMPUTED_VALUE"""),"07/05/2020")</f>
        <v>07/05/2020</v>
      </c>
      <c r="N419" s="3"/>
      <c r="O419" s="3" t="str">
        <f>IFERROR(__xludf.dummyfunction("""COMPUTED_VALUE"""),"0")</f>
        <v>0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hidden="1" customHeight="1" spans="1:29">
      <c r="A420" s="3"/>
      <c r="B420" s="3" t="str">
        <f t="array" ref="B420">_xlfn.XLOOKUP(D420,Tabela_Dados_Esc_JAB_2026[INEP],Tabela_Dados_Esc_JAB_2026[REGIONAL],"NE",0)</f>
        <v>REGIONAL 6</v>
      </c>
      <c r="C420" s="4" t="str">
        <f>IFERROR(__xludf.dummyfunction("""COMPUTED_VALUE"""),"ESCOLA MUNICIPAL PROFESSOR ALMIR OLÍMPIO ALVES")</f>
        <v>ESCOLA MUNICIPAL PROFESSOR ALMIR OLÍMPIO ALVES</v>
      </c>
      <c r="D420" s="3" t="str">
        <f>IFERROR(__xludf.dummyfunction("""COMPUTED_VALUE"""),"26137755")</f>
        <v>26137755</v>
      </c>
      <c r="E420" s="3" t="str">
        <f>IFERROR(__xludf.dummyfunction("""COMPUTED_VALUE"""),"INFANTIL 5")</f>
        <v>INFANTIL 5</v>
      </c>
      <c r="F420" s="3" t="str">
        <f>IFERROR(__xludf.dummyfunction("""COMPUTED_VALUE"""),"Matutino/Manhã")</f>
        <v>Matutino/Manhã</v>
      </c>
      <c r="G420" s="3" t="str">
        <f>IFERROR(__xludf.dummyfunction("""COMPUTED_VALUE"""),"Comum")</f>
        <v>Comum</v>
      </c>
      <c r="H420" s="3" t="str">
        <f>IFERROR(__xludf.dummyfunction("""COMPUTED_VALUE"""),"4")</f>
        <v>4</v>
      </c>
      <c r="I420" s="147" t="str">
        <f>IFERROR(__xludf.dummyfunction("""COMPUTED_VALUE"""),"26032814261")</f>
        <v>26032814261</v>
      </c>
      <c r="J420" s="3" t="str">
        <f>IFERROR(__xludf.dummyfunction("""COMPUTED_VALUE"""),"05/03/2026 12:10:03")</f>
        <v>05/03/2026 12:10:03</v>
      </c>
      <c r="K420" s="3" t="str">
        <f>IFERROR(__xludf.dummyfunction("""COMPUTED_VALUE"""),"LAURA SOFIA COSTA DE OLIVEIRA")</f>
        <v>LAURA SOFIA COSTA DE OLIVEIRA</v>
      </c>
      <c r="L420" s="146" t="str">
        <f>IFERROR(__xludf.dummyfunction("""COMPUTED_VALUE"""),"176.899.474-92")</f>
        <v>176.899.474-92</v>
      </c>
      <c r="M420" s="146" t="str">
        <f>IFERROR(__xludf.dummyfunction("""COMPUTED_VALUE"""),"30/03/2021")</f>
        <v>30/03/2021</v>
      </c>
      <c r="N420" s="3"/>
      <c r="O420" s="3" t="str">
        <f>IFERROR(__xludf.dummyfunction("""COMPUTED_VALUE"""),"0")</f>
        <v>0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hidden="1" customHeight="1" spans="1:29">
      <c r="A421" s="3"/>
      <c r="B421" s="3" t="str">
        <f t="array" ref="B421">_xlfn.XLOOKUP(D421,Tabela_Dados_Esc_JAB_2026[INEP],Tabela_Dados_Esc_JAB_2026[REGIONAL],"NE",0)</f>
        <v>REGIONAL 6</v>
      </c>
      <c r="C421" s="4" t="str">
        <f>IFERROR(__xludf.dummyfunction("""COMPUTED_VALUE"""),"ESCOLA MUNICIPAL PROFESSOR ALMIR OLÍMPIO ALVES")</f>
        <v>ESCOLA MUNICIPAL PROFESSOR ALMIR OLÍMPIO ALVES</v>
      </c>
      <c r="D421" s="3" t="str">
        <f>IFERROR(__xludf.dummyfunction("""COMPUTED_VALUE"""),"26137755")</f>
        <v>26137755</v>
      </c>
      <c r="E421" s="3" t="str">
        <f>IFERROR(__xludf.dummyfunction("""COMPUTED_VALUE"""),"INFANTIL 5")</f>
        <v>INFANTIL 5</v>
      </c>
      <c r="F421" s="3" t="str">
        <f>IFERROR(__xludf.dummyfunction("""COMPUTED_VALUE"""),"Matutino/Manhã")</f>
        <v>Matutino/Manhã</v>
      </c>
      <c r="G421" s="3" t="str">
        <f>IFERROR(__xludf.dummyfunction("""COMPUTED_VALUE"""),"Comum")</f>
        <v>Comum</v>
      </c>
      <c r="H421" s="3" t="str">
        <f>IFERROR(__xludf.dummyfunction("""COMPUTED_VALUE"""),"5")</f>
        <v>5</v>
      </c>
      <c r="I421" s="147" t="str">
        <f>IFERROR(__xludf.dummyfunction("""COMPUTED_VALUE"""),"26082130262")</f>
        <v>26082130262</v>
      </c>
      <c r="J421" s="3" t="str">
        <f>IFERROR(__xludf.dummyfunction("""COMPUTED_VALUE"""),"20/08/2026 10:14:16")</f>
        <v>20/08/2026 10:14:16</v>
      </c>
      <c r="K421" s="3" t="str">
        <f>IFERROR(__xludf.dummyfunction("""COMPUTED_VALUE"""),"PEDRO HENRIQUE GONÇALVES DA SILVA")</f>
        <v>PEDRO HENRIQUE GONÇALVES DA SILVA</v>
      </c>
      <c r="L421" s="146" t="str">
        <f>IFERROR(__xludf.dummyfunction("""COMPUTED_VALUE"""),"171.772.884-73")</f>
        <v>171.772.884-73</v>
      </c>
      <c r="M421" s="146" t="str">
        <f>IFERROR(__xludf.dummyfunction("""COMPUTED_VALUE"""),"30/04/2020")</f>
        <v>30/04/2020</v>
      </c>
      <c r="N421" s="3"/>
      <c r="O421" s="3" t="str">
        <f>IFERROR(__xludf.dummyfunction("""COMPUTED_VALUE"""),"0")</f>
        <v>0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hidden="1" customHeight="1" spans="1:29">
      <c r="A422" s="3"/>
      <c r="B422" s="3" t="str">
        <f t="array" ref="B422">_xlfn.XLOOKUP(D422,Tabela_Dados_Esc_JAB_2026[INEP],Tabela_Dados_Esc_JAB_2026[REGIONAL],"NE",0)</f>
        <v>REGIONAL 6</v>
      </c>
      <c r="C422" s="4" t="str">
        <f>IFERROR(__xludf.dummyfunction("""COMPUTED_VALUE"""),"ESCOLA MUNICIPAL PROFESSOR ALMIR OLÍMPIO ALVES")</f>
        <v>ESCOLA MUNICIPAL PROFESSOR ALMIR OLÍMPIO ALVES</v>
      </c>
      <c r="D422" s="3" t="str">
        <f>IFERROR(__xludf.dummyfunction("""COMPUTED_VALUE"""),"26137755")</f>
        <v>26137755</v>
      </c>
      <c r="E422" s="3" t="str">
        <f>IFERROR(__xludf.dummyfunction("""COMPUTED_VALUE"""),"INFANTIL 5")</f>
        <v>INFANTIL 5</v>
      </c>
      <c r="F422" s="3" t="str">
        <f>IFERROR(__xludf.dummyfunction("""COMPUTED_VALUE"""),"Vespertino/Tarde")</f>
        <v>Vespertino/Tarde</v>
      </c>
      <c r="G422" s="3" t="str">
        <f>IFERROR(__xludf.dummyfunction("""COMPUTED_VALUE"""),"Comum")</f>
        <v>Comum</v>
      </c>
      <c r="H422" s="3" t="str">
        <f>IFERROR(__xludf.dummyfunction("""COMPUTED_VALUE"""),"1")</f>
        <v>1</v>
      </c>
      <c r="I422" s="147" t="str">
        <f>IFERROR(__xludf.dummyfunction("""COMPUTED_VALUE"""),"26022485580")</f>
        <v>26022485580</v>
      </c>
      <c r="J422" s="3" t="str">
        <f>IFERROR(__xludf.dummyfunction("""COMPUTED_VALUE"""),"05/02/2026 11:04:28")</f>
        <v>05/02/2026 11:04:28</v>
      </c>
      <c r="K422" s="3" t="str">
        <f>IFERROR(__xludf.dummyfunction("""COMPUTED_VALUE"""),"BERNARDO EMANUEL ALVES DA SILVA")</f>
        <v>BERNARDO EMANUEL ALVES DA SILVA</v>
      </c>
      <c r="L422" s="146" t="str">
        <f>IFERROR(__xludf.dummyfunction("""COMPUTED_VALUE"""),"181.691.064-35")</f>
        <v>181.691.064-35</v>
      </c>
      <c r="M422" s="146" t="str">
        <f>IFERROR(__xludf.dummyfunction("""COMPUTED_VALUE"""),"22/12/2020")</f>
        <v>22/12/2020</v>
      </c>
      <c r="N422" s="3"/>
      <c r="O422" s="3" t="str">
        <f>IFERROR(__xludf.dummyfunction("""COMPUTED_VALUE"""),"0")</f>
        <v>0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hidden="1" customHeight="1" spans="1:29">
      <c r="A423" s="3"/>
      <c r="B423" s="3"/>
      <c r="C423" s="4" t="str">
        <f>IFERROR(__xludf.dummyfunction("""COMPUTED_VALUE"""),"ESCOLA MUNICIPAL PROFESSOR ALMIR OLÍMPIO ALVES")</f>
        <v>ESCOLA MUNICIPAL PROFESSOR ALMIR OLÍMPIO ALVES</v>
      </c>
      <c r="D423" s="3" t="str">
        <f>IFERROR(__xludf.dummyfunction("""COMPUTED_VALUE"""),"26137755")</f>
        <v>26137755</v>
      </c>
      <c r="E423" s="3" t="str">
        <f>IFERROR(__xludf.dummyfunction("""COMPUTED_VALUE"""),"INFANTIL 5")</f>
        <v>INFANTIL 5</v>
      </c>
      <c r="F423" s="3" t="str">
        <f>IFERROR(__xludf.dummyfunction("""COMPUTED_VALUE"""),"Vespertino/Tarde")</f>
        <v>Vespertino/Tarde</v>
      </c>
      <c r="G423" s="3" t="str">
        <f>IFERROR(__xludf.dummyfunction("""COMPUTED_VALUE"""),"Comum")</f>
        <v>Comum</v>
      </c>
      <c r="H423" s="3" t="str">
        <f>IFERROR(__xludf.dummyfunction("""COMPUTED_VALUE"""),"2")</f>
        <v>2</v>
      </c>
      <c r="I423" s="147" t="str">
        <f>IFERROR(__xludf.dummyfunction("""COMPUTED_VALUE"""),"26022645038")</f>
        <v>26022645038</v>
      </c>
      <c r="J423" s="3" t="str">
        <f>IFERROR(__xludf.dummyfunction("""COMPUTED_VALUE"""),"11/02/2026 11:15:02")</f>
        <v>11/02/2026 11:15:02</v>
      </c>
      <c r="K423" s="3" t="str">
        <f>IFERROR(__xludf.dummyfunction("""COMPUTED_VALUE"""),"PEDRO LUCAS FERREIRA DE ANDRADE")</f>
        <v>PEDRO LUCAS FERREIRA DE ANDRADE</v>
      </c>
      <c r="L423" s="146" t="str">
        <f>IFERROR(__xludf.dummyfunction("""COMPUTED_VALUE"""),"171.330.854-10")</f>
        <v>171.330.854-10</v>
      </c>
      <c r="M423" s="146" t="str">
        <f>IFERROR(__xludf.dummyfunction("""COMPUTED_VALUE"""),"03/04/2020")</f>
        <v>03/04/2020</v>
      </c>
      <c r="N423" s="3"/>
      <c r="O423" s="3" t="str">
        <f>IFERROR(__xludf.dummyfunction("""COMPUTED_VALUE"""),"0")</f>
        <v>0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hidden="1" customHeight="1" spans="1:29">
      <c r="A424" s="3"/>
      <c r="B424" s="3"/>
      <c r="C424" s="4" t="str">
        <f>IFERROR(__xludf.dummyfunction("""COMPUTED_VALUE"""),"ESCOLA MUNICIPAL PROFESSOR ALMIR OLÍMPIO ALVES")</f>
        <v>ESCOLA MUNICIPAL PROFESSOR ALMIR OLÍMPIO ALVES</v>
      </c>
      <c r="D424" s="3" t="str">
        <f>IFERROR(__xludf.dummyfunction("""COMPUTED_VALUE"""),"26137755")</f>
        <v>26137755</v>
      </c>
      <c r="E424" s="3" t="str">
        <f>IFERROR(__xludf.dummyfunction("""COMPUTED_VALUE"""),"INFANTIL 5")</f>
        <v>INFANTIL 5</v>
      </c>
      <c r="F424" s="3" t="str">
        <f>IFERROR(__xludf.dummyfunction("""COMPUTED_VALUE"""),"Vespertino/Tarde")</f>
        <v>Vespertino/Tarde</v>
      </c>
      <c r="G424" s="3" t="str">
        <f>IFERROR(__xludf.dummyfunction("""COMPUTED_VALUE"""),"Comum")</f>
        <v>Comum</v>
      </c>
      <c r="H424" s="3" t="str">
        <f>IFERROR(__xludf.dummyfunction("""COMPUTED_VALUE"""),"3")</f>
        <v>3</v>
      </c>
      <c r="I424" s="147" t="str">
        <f>IFERROR(__xludf.dummyfunction("""COMPUTED_VALUE"""),"26022800616")</f>
        <v>26022800616</v>
      </c>
      <c r="J424" s="3" t="str">
        <f>IFERROR(__xludf.dummyfunction("""COMPUTED_VALUE"""),"25/02/2026 10:27:28")</f>
        <v>25/02/2026 10:27:28</v>
      </c>
      <c r="K424" s="3" t="str">
        <f>IFERROR(__xludf.dummyfunction("""COMPUTED_VALUE"""),"MOANNA WALENTINA FERREIRA DE SOUZA")</f>
        <v>MOANNA WALENTINA FERREIRA DE SOUZA</v>
      </c>
      <c r="L424" s="146" t="str">
        <f>IFERROR(__xludf.dummyfunction("""COMPUTED_VALUE"""),"173.684.614-04")</f>
        <v>173.684.614-04</v>
      </c>
      <c r="M424" s="146" t="str">
        <f>IFERROR(__xludf.dummyfunction("""COMPUTED_VALUE"""),"12/09/2020")</f>
        <v>12/09/2020</v>
      </c>
      <c r="N424" s="3"/>
      <c r="O424" s="3" t="str">
        <f>IFERROR(__xludf.dummyfunction("""COMPUTED_VALUE"""),"0")</f>
        <v>0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hidden="1" customHeight="1" spans="1:29">
      <c r="A425" s="3"/>
      <c r="B425" s="3"/>
      <c r="C425" s="4" t="str">
        <f>IFERROR(__xludf.dummyfunction("""COMPUTED_VALUE"""),"ESCOLA MUNICIPAL PROFESSOR ALMIR OLÍMPIO ALVES")</f>
        <v>ESCOLA MUNICIPAL PROFESSOR ALMIR OLÍMPIO ALVES</v>
      </c>
      <c r="D425" s="3" t="str">
        <f>IFERROR(__xludf.dummyfunction("""COMPUTED_VALUE"""),"26137755")</f>
        <v>26137755</v>
      </c>
      <c r="E425" s="3" t="str">
        <f>IFERROR(__xludf.dummyfunction("""COMPUTED_VALUE"""),"INFANTIL 5")</f>
        <v>INFANTIL 5</v>
      </c>
      <c r="F425" s="3" t="str">
        <f>IFERROR(__xludf.dummyfunction("""COMPUTED_VALUE"""),"Vespertino/Tarde")</f>
        <v>Vespertino/Tarde</v>
      </c>
      <c r="G425" s="3" t="str">
        <f>IFERROR(__xludf.dummyfunction("""COMPUTED_VALUE"""),"Comum")</f>
        <v>Comum</v>
      </c>
      <c r="H425" s="3" t="str">
        <f>IFERROR(__xludf.dummyfunction("""COMPUTED_VALUE"""),"4")</f>
        <v>4</v>
      </c>
      <c r="I425" s="147" t="str">
        <f>IFERROR(__xludf.dummyfunction("""COMPUTED_VALUE"""),"26082602108")</f>
        <v>26082602108</v>
      </c>
      <c r="J425" s="3" t="str">
        <f>IFERROR(__xludf.dummyfunction("""COMPUTED_VALUE"""),"03/08/2026 10:47:12")</f>
        <v>03/08/2026 10:47:12</v>
      </c>
      <c r="K425" s="3" t="str">
        <f>IFERROR(__xludf.dummyfunction("""COMPUTED_VALUE"""),"OTTO BENICIO DO NASCIMENTO")</f>
        <v>OTTO BENICIO DO NASCIMENTO</v>
      </c>
      <c r="L425" s="146" t="str">
        <f>IFERROR(__xludf.dummyfunction("""COMPUTED_VALUE"""),"171.346.464-08")</f>
        <v>171.346.464-08</v>
      </c>
      <c r="M425" s="146" t="str">
        <f>IFERROR(__xludf.dummyfunction("""COMPUTED_VALUE"""),"01/04/2020")</f>
        <v>01/04/2020</v>
      </c>
      <c r="N425" s="3"/>
      <c r="O425" s="3" t="str">
        <f>IFERROR(__xludf.dummyfunction("""COMPUTED_VALUE"""),"0")</f>
        <v>0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hidden="1" customHeight="1" spans="1:29">
      <c r="A426" s="3"/>
      <c r="B426" s="3"/>
      <c r="C426" s="4" t="str">
        <f>IFERROR(__xludf.dummyfunction("""COMPUTED_VALUE"""),"ESCOLA MUNICIPAL PROFESSOR AUGUSTO PEREIRA JUNIOR")</f>
        <v>ESCOLA MUNICIPAL PROFESSOR AUGUSTO PEREIRA JUNIOR</v>
      </c>
      <c r="D426" s="3" t="str">
        <f>IFERROR(__xludf.dummyfunction("""COMPUTED_VALUE"""),"26109280")</f>
        <v>26109280</v>
      </c>
      <c r="E426" s="3" t="str">
        <f>IFERROR(__xludf.dummyfunction("""COMPUTED_VALUE"""),"INFANTIL 4")</f>
        <v>INFANTIL 4</v>
      </c>
      <c r="F426" s="3" t="str">
        <f>IFERROR(__xludf.dummyfunction("""COMPUTED_VALUE"""),"Vespertino/Tarde")</f>
        <v>Vespertino/Tarde</v>
      </c>
      <c r="G426" s="3" t="str">
        <f>IFERROR(__xludf.dummyfunction("""COMPUTED_VALUE"""),"Comum")</f>
        <v>Comum</v>
      </c>
      <c r="H426" s="3" t="str">
        <f>IFERROR(__xludf.dummyfunction("""COMPUTED_VALUE"""),"1")</f>
        <v>1</v>
      </c>
      <c r="I426" s="147" t="str">
        <f>IFERROR(__xludf.dummyfunction("""COMPUTED_VALUE"""),"26042203545")</f>
        <v>26042203545</v>
      </c>
      <c r="J426" s="3" t="str">
        <f>IFERROR(__xludf.dummyfunction("""COMPUTED_VALUE"""),"08/04/2026 18:51:11")</f>
        <v>08/04/2026 18:51:11</v>
      </c>
      <c r="K426" s="3" t="str">
        <f>IFERROR(__xludf.dummyfunction("""COMPUTED_VALUE"""),"EMILLY MARIA FRANCELINO DA SILVA")</f>
        <v>EMILLY MARIA FRANCELINO DA SILVA</v>
      </c>
      <c r="L426" s="146" t="str">
        <f>IFERROR(__xludf.dummyfunction("""COMPUTED_VALUE"""),"180.394.224-00")</f>
        <v>180.394.224-00</v>
      </c>
      <c r="M426" s="146" t="str">
        <f>IFERROR(__xludf.dummyfunction("""COMPUTED_VALUE"""),"04/02/2022")</f>
        <v>04/02/2022</v>
      </c>
      <c r="N426" s="3"/>
      <c r="O426" s="3" t="str">
        <f>IFERROR(__xludf.dummyfunction("""COMPUTED_VALUE"""),"0")</f>
        <v>0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hidden="1" customHeight="1" spans="1:29">
      <c r="A427" s="3"/>
      <c r="B427" s="3"/>
      <c r="C427" s="4" t="str">
        <f>IFERROR(__xludf.dummyfunction("""COMPUTED_VALUE"""),"ESCOLA MUNICIPAL PROFESSOR AUGUSTO PEREIRA JUNIOR")</f>
        <v>ESCOLA MUNICIPAL PROFESSOR AUGUSTO PEREIRA JUNIOR</v>
      </c>
      <c r="D427" s="3" t="str">
        <f>IFERROR(__xludf.dummyfunction("""COMPUTED_VALUE"""),"26109280")</f>
        <v>26109280</v>
      </c>
      <c r="E427" s="3" t="str">
        <f>IFERROR(__xludf.dummyfunction("""COMPUTED_VALUE"""),"INFANTIL 4")</f>
        <v>INFANTIL 4</v>
      </c>
      <c r="F427" s="3" t="str">
        <f>IFERROR(__xludf.dummyfunction("""COMPUTED_VALUE"""),"Vespertino/Tarde")</f>
        <v>Vespertino/Tarde</v>
      </c>
      <c r="G427" s="3" t="str">
        <f>IFERROR(__xludf.dummyfunction("""COMPUTED_VALUE"""),"Comum")</f>
        <v>Comum</v>
      </c>
      <c r="H427" s="3" t="str">
        <f>IFERROR(__xludf.dummyfunction("""COMPUTED_VALUE"""),"2")</f>
        <v>2</v>
      </c>
      <c r="I427" s="147" t="str">
        <f>IFERROR(__xludf.dummyfunction("""COMPUTED_VALUE"""),"26072946292")</f>
        <v>26072946292</v>
      </c>
      <c r="J427" s="3" t="str">
        <f>IFERROR(__xludf.dummyfunction("""COMPUTED_VALUE"""),"20/07/2026 14:51:37")</f>
        <v>20/07/2026 14:51:37</v>
      </c>
      <c r="K427" s="3" t="str">
        <f>IFERROR(__xludf.dummyfunction("""COMPUTED_VALUE"""),"LÉVI GABRIEL SANTANA OLIVEIRA")</f>
        <v>LÉVI GABRIEL SANTANA OLIVEIRA</v>
      </c>
      <c r="L427" s="146" t="str">
        <f>IFERROR(__xludf.dummyfunction("""COMPUTED_VALUE"""),"180.568.054-43")</f>
        <v>180.568.054-43</v>
      </c>
      <c r="M427" s="146" t="str">
        <f>IFERROR(__xludf.dummyfunction("""COMPUTED_VALUE"""),"16/02/2022")</f>
        <v>16/02/2022</v>
      </c>
      <c r="N427" s="3"/>
      <c r="O427" s="3" t="str">
        <f>IFERROR(__xludf.dummyfunction("""COMPUTED_VALUE"""),"0")</f>
        <v>0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hidden="1" customHeight="1" spans="1:29">
      <c r="A428" s="3"/>
      <c r="B428" s="3"/>
      <c r="C428" s="4" t="str">
        <f>IFERROR(__xludf.dummyfunction("""COMPUTED_VALUE"""),"ESCOLA MUNICIPAL PROFESSOR ORLANDO BRENO")</f>
        <v>ESCOLA MUNICIPAL PROFESSOR ORLANDO BRENO</v>
      </c>
      <c r="D428" s="3" t="str">
        <f>IFERROR(__xludf.dummyfunction("""COMPUTED_VALUE"""),"26155028")</f>
        <v>26155028</v>
      </c>
      <c r="E428" s="3" t="str">
        <f>IFERROR(__xludf.dummyfunction("""COMPUTED_VALUE"""),"INFANTIL 4")</f>
        <v>INFANTIL 4</v>
      </c>
      <c r="F428" s="3" t="str">
        <f>IFERROR(__xludf.dummyfunction("""COMPUTED_VALUE"""),"Vespertino/Tarde")</f>
        <v>Vespertino/Tarde</v>
      </c>
      <c r="G428" s="3" t="str">
        <f>IFERROR(__xludf.dummyfunction("""COMPUTED_VALUE"""),"Comum")</f>
        <v>Comum</v>
      </c>
      <c r="H428" s="3" t="str">
        <f>IFERROR(__xludf.dummyfunction("""COMPUTED_VALUE"""),"1")</f>
        <v>1</v>
      </c>
      <c r="I428" s="145" t="str">
        <f>IFERROR(__xludf.dummyfunction("""COMPUTED_VALUE"""),"26032515184")</f>
        <v>26032515184</v>
      </c>
      <c r="J428" s="3" t="str">
        <f>IFERROR(__xludf.dummyfunction("""COMPUTED_VALUE"""),"18/03/2026 08:02:29")</f>
        <v>18/03/2026 08:02:29</v>
      </c>
      <c r="K428" s="3" t="str">
        <f>IFERROR(__xludf.dummyfunction("""COMPUTED_VALUE"""),"ISABELLY VICTÓRIA MELO DE LIMA")</f>
        <v>ISABELLY VICTÓRIA MELO DE LIMA</v>
      </c>
      <c r="L428" s="146" t="str">
        <f>IFERROR(__xludf.dummyfunction("""COMPUTED_VALUE"""),"180.272.334-02")</f>
        <v>180.272.334-02</v>
      </c>
      <c r="M428" s="146" t="str">
        <f>IFERROR(__xludf.dummyfunction("""COMPUTED_VALUE"""),"16/01/2022")</f>
        <v>16/01/2022</v>
      </c>
      <c r="N428" s="3"/>
      <c r="O428" s="3" t="str">
        <f>IFERROR(__xludf.dummyfunction("""COMPUTED_VALUE"""),"0")</f>
        <v>0</v>
      </c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hidden="1" customHeight="1" spans="1:29">
      <c r="A429" s="3"/>
      <c r="B429" s="3"/>
      <c r="C429" s="4" t="str">
        <f>IFERROR(__xludf.dummyfunction("""COMPUTED_VALUE"""),"ESCOLA MUNICIPAL PROFESSOR ORLANDO BRENO")</f>
        <v>ESCOLA MUNICIPAL PROFESSOR ORLANDO BRENO</v>
      </c>
      <c r="D429" s="3" t="str">
        <f>IFERROR(__xludf.dummyfunction("""COMPUTED_VALUE"""),"26155028")</f>
        <v>26155028</v>
      </c>
      <c r="E429" s="3" t="str">
        <f>IFERROR(__xludf.dummyfunction("""COMPUTED_VALUE"""),"INFANTIL 4")</f>
        <v>INFANTIL 4</v>
      </c>
      <c r="F429" s="3" t="str">
        <f>IFERROR(__xludf.dummyfunction("""COMPUTED_VALUE"""),"Vespertino/Tarde")</f>
        <v>Vespertino/Tarde</v>
      </c>
      <c r="G429" s="3" t="str">
        <f>IFERROR(__xludf.dummyfunction("""COMPUTED_VALUE"""),"Comum")</f>
        <v>Comum</v>
      </c>
      <c r="H429" s="3" t="str">
        <f>IFERROR(__xludf.dummyfunction("""COMPUTED_VALUE"""),"2")</f>
        <v>2</v>
      </c>
      <c r="I429" s="145" t="str">
        <f>IFERROR(__xludf.dummyfunction("""COMPUTED_VALUE"""),"26032510757")</f>
        <v>26032510757</v>
      </c>
      <c r="J429" s="3" t="str">
        <f>IFERROR(__xludf.dummyfunction("""COMPUTED_VALUE"""),"30/03/2026 11:03:52")</f>
        <v>30/03/2026 11:03:52</v>
      </c>
      <c r="K429" s="3" t="str">
        <f>IFERROR(__xludf.dummyfunction("""COMPUTED_VALUE"""),"SAULLO GABRIEL NASCIMENTO DA SILVA")</f>
        <v>SAULLO GABRIEL NASCIMENTO DA SILVA</v>
      </c>
      <c r="L429" s="146" t="str">
        <f>IFERROR(__xludf.dummyfunction("""COMPUTED_VALUE"""),"180.770.434-37")</f>
        <v>180.770.434-37</v>
      </c>
      <c r="M429" s="146" t="str">
        <f>IFERROR(__xludf.dummyfunction("""COMPUTED_VALUE"""),"08/03/2022")</f>
        <v>08/03/2022</v>
      </c>
      <c r="N429" s="3"/>
      <c r="O429" s="3" t="str">
        <f>IFERROR(__xludf.dummyfunction("""COMPUTED_VALUE"""),"0")</f>
        <v>0</v>
      </c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hidden="1" customHeight="1" spans="1:29">
      <c r="A430" s="3"/>
      <c r="B430" s="3"/>
      <c r="C430" s="4" t="str">
        <f>IFERROR(__xludf.dummyfunction("""COMPUTED_VALUE"""),"ESCOLA MUNICIPAL PROFESSOR ORLANDO BRENO")</f>
        <v>ESCOLA MUNICIPAL PROFESSOR ORLANDO BRENO</v>
      </c>
      <c r="D430" s="3" t="str">
        <f>IFERROR(__xludf.dummyfunction("""COMPUTED_VALUE"""),"26155028")</f>
        <v>26155028</v>
      </c>
      <c r="E430" s="3" t="str">
        <f>IFERROR(__xludf.dummyfunction("""COMPUTED_VALUE"""),"INFANTIL 4")</f>
        <v>INFANTIL 4</v>
      </c>
      <c r="F430" s="3" t="str">
        <f>IFERROR(__xludf.dummyfunction("""COMPUTED_VALUE"""),"Vespertino/Tarde")</f>
        <v>Vespertino/Tarde</v>
      </c>
      <c r="G430" s="3" t="str">
        <f>IFERROR(__xludf.dummyfunction("""COMPUTED_VALUE"""),"Comum")</f>
        <v>Comum</v>
      </c>
      <c r="H430" s="3" t="str">
        <f>IFERROR(__xludf.dummyfunction("""COMPUTED_VALUE"""),"3")</f>
        <v>3</v>
      </c>
      <c r="I430" s="145" t="str">
        <f>IFERROR(__xludf.dummyfunction("""COMPUTED_VALUE"""),"26052246684")</f>
        <v>26052246684</v>
      </c>
      <c r="J430" s="3" t="str">
        <f>IFERROR(__xludf.dummyfunction("""COMPUTED_VALUE"""),"15/05/2026 09:06:25")</f>
        <v>15/05/2026 09:06:25</v>
      </c>
      <c r="K430" s="3" t="str">
        <f>IFERROR(__xludf.dummyfunction("""COMPUTED_VALUE"""),"ANA LUIZA DA SILVA")</f>
        <v>ANA LUIZA DA SILVA</v>
      </c>
      <c r="L430" s="146" t="str">
        <f>IFERROR(__xludf.dummyfunction("""COMPUTED_VALUE"""),"180.695.134-70")</f>
        <v>180.695.134-70</v>
      </c>
      <c r="M430" s="146" t="str">
        <f>IFERROR(__xludf.dummyfunction("""COMPUTED_VALUE"""),"06/02/2022")</f>
        <v>06/02/2022</v>
      </c>
      <c r="N430" s="3"/>
      <c r="O430" s="3" t="str">
        <f>IFERROR(__xludf.dummyfunction("""COMPUTED_VALUE"""),"0")</f>
        <v>0</v>
      </c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hidden="1" customHeight="1" spans="1:29">
      <c r="A431" s="3"/>
      <c r="B431" s="3"/>
      <c r="C431" s="4" t="str">
        <f>IFERROR(__xludf.dummyfunction("""COMPUTED_VALUE"""),"ESCOLA MUNICIPAL PROFESSOR ORLANDO BRENO")</f>
        <v>ESCOLA MUNICIPAL PROFESSOR ORLANDO BRENO</v>
      </c>
      <c r="D431" s="3" t="str">
        <f>IFERROR(__xludf.dummyfunction("""COMPUTED_VALUE"""),"26155028")</f>
        <v>26155028</v>
      </c>
      <c r="E431" s="3" t="str">
        <f>IFERROR(__xludf.dummyfunction("""COMPUTED_VALUE"""),"INFANTIL 4")</f>
        <v>INFANTIL 4</v>
      </c>
      <c r="F431" s="3" t="str">
        <f>IFERROR(__xludf.dummyfunction("""COMPUTED_VALUE"""),"Vespertino/Tarde")</f>
        <v>Vespertino/Tarde</v>
      </c>
      <c r="G431" s="3" t="str">
        <f>IFERROR(__xludf.dummyfunction("""COMPUTED_VALUE"""),"Comum")</f>
        <v>Comum</v>
      </c>
      <c r="H431" s="3" t="str">
        <f>IFERROR(__xludf.dummyfunction("""COMPUTED_VALUE"""),"4")</f>
        <v>4</v>
      </c>
      <c r="I431" s="145" t="str">
        <f>IFERROR(__xludf.dummyfunction("""COMPUTED_VALUE"""),"26052400674")</f>
        <v>26052400674</v>
      </c>
      <c r="J431" s="3" t="str">
        <f>IFERROR(__xludf.dummyfunction("""COMPUTED_VALUE"""),"15/05/2026 09:11:47")</f>
        <v>15/05/2026 09:11:47</v>
      </c>
      <c r="K431" s="3" t="str">
        <f>IFERROR(__xludf.dummyfunction("""COMPUTED_VALUE"""),"ANA LAURA DA SILVA")</f>
        <v>ANA LAURA DA SILVA</v>
      </c>
      <c r="L431" s="146" t="str">
        <f>IFERROR(__xludf.dummyfunction("""COMPUTED_VALUE"""),"180.695.084-77")</f>
        <v>180.695.084-77</v>
      </c>
      <c r="M431" s="146" t="str">
        <f>IFERROR(__xludf.dummyfunction("""COMPUTED_VALUE"""),"06/02/2022")</f>
        <v>06/02/2022</v>
      </c>
      <c r="N431" s="3"/>
      <c r="O431" s="3" t="str">
        <f>IFERROR(__xludf.dummyfunction("""COMPUTED_VALUE"""),"0")</f>
        <v>0</v>
      </c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hidden="1" customHeight="1" spans="1:29">
      <c r="A432" s="3"/>
      <c r="B432" s="3"/>
      <c r="C432" s="4" t="str">
        <f>IFERROR(__xludf.dummyfunction("""COMPUTED_VALUE"""),"ESCOLA MUNICIPAL PROFESSOR ORLANDO BRENO")</f>
        <v>ESCOLA MUNICIPAL PROFESSOR ORLANDO BRENO</v>
      </c>
      <c r="D432" s="3" t="str">
        <f>IFERROR(__xludf.dummyfunction("""COMPUTED_VALUE"""),"26155028")</f>
        <v>26155028</v>
      </c>
      <c r="E432" s="3" t="str">
        <f>IFERROR(__xludf.dummyfunction("""COMPUTED_VALUE"""),"INFANTIL 4")</f>
        <v>INFANTIL 4</v>
      </c>
      <c r="F432" s="3" t="str">
        <f>IFERROR(__xludf.dummyfunction("""COMPUTED_VALUE"""),"Vespertino/Tarde")</f>
        <v>Vespertino/Tarde</v>
      </c>
      <c r="G432" s="3" t="str">
        <f>IFERROR(__xludf.dummyfunction("""COMPUTED_VALUE"""),"Comum")</f>
        <v>Comum</v>
      </c>
      <c r="H432" s="3" t="str">
        <f>IFERROR(__xludf.dummyfunction("""COMPUTED_VALUE"""),"5")</f>
        <v>5</v>
      </c>
      <c r="I432" s="145" t="str">
        <f>IFERROR(__xludf.dummyfunction("""COMPUTED_VALUE"""),"26052333551")</f>
        <v>26052333551</v>
      </c>
      <c r="J432" s="3" t="str">
        <f>IFERROR(__xludf.dummyfunction("""COMPUTED_VALUE"""),"25/05/2026 11:11:13")</f>
        <v>25/05/2026 11:11:13</v>
      </c>
      <c r="K432" s="3" t="str">
        <f>IFERROR(__xludf.dummyfunction("""COMPUTED_VALUE"""),"Perola Gabrielly Martins Da silva")</f>
        <v>Perola Gabrielly Martins Da silva</v>
      </c>
      <c r="L432" s="146" t="str">
        <f>IFERROR(__xludf.dummyfunction("""COMPUTED_VALUE"""),"181.059.304-20")</f>
        <v>181.059.304-20</v>
      </c>
      <c r="M432" s="146" t="str">
        <f>IFERROR(__xludf.dummyfunction("""COMPUTED_VALUE"""),"15/10/2021")</f>
        <v>15/10/2021</v>
      </c>
      <c r="N432" s="3"/>
      <c r="O432" s="3" t="str">
        <f>IFERROR(__xludf.dummyfunction("""COMPUTED_VALUE"""),"0")</f>
        <v>0</v>
      </c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hidden="1" customHeight="1" spans="1:29">
      <c r="A433" s="3"/>
      <c r="B433" s="3"/>
      <c r="C433" s="4" t="str">
        <f>IFERROR(__xludf.dummyfunction("""COMPUTED_VALUE"""),"ESCOLA MUNICIPAL PROFESSOR ORLANDO BRENO")</f>
        <v>ESCOLA MUNICIPAL PROFESSOR ORLANDO BRENO</v>
      </c>
      <c r="D433" s="3" t="str">
        <f>IFERROR(__xludf.dummyfunction("""COMPUTED_VALUE"""),"26155028")</f>
        <v>26155028</v>
      </c>
      <c r="E433" s="3" t="str">
        <f>IFERROR(__xludf.dummyfunction("""COMPUTED_VALUE"""),"INFANTIL 4")</f>
        <v>INFANTIL 4</v>
      </c>
      <c r="F433" s="3" t="str">
        <f>IFERROR(__xludf.dummyfunction("""COMPUTED_VALUE"""),"Vespertino/Tarde")</f>
        <v>Vespertino/Tarde</v>
      </c>
      <c r="G433" s="3" t="str">
        <f>IFERROR(__xludf.dummyfunction("""COMPUTED_VALUE"""),"Comum")</f>
        <v>Comum</v>
      </c>
      <c r="H433" s="3" t="str">
        <f>IFERROR(__xludf.dummyfunction("""COMPUTED_VALUE"""),"6")</f>
        <v>6</v>
      </c>
      <c r="I433" s="145" t="str">
        <f>IFERROR(__xludf.dummyfunction("""COMPUTED_VALUE"""),"26052232776")</f>
        <v>26052232776</v>
      </c>
      <c r="J433" s="3" t="str">
        <f>IFERROR(__xludf.dummyfunction("""COMPUTED_VALUE"""),"29/05/2026 10:13:47")</f>
        <v>29/05/2026 10:13:47</v>
      </c>
      <c r="K433" s="3" t="str">
        <f>IFERROR(__xludf.dummyfunction("""COMPUTED_VALUE"""),"MARIA JÚLIA MORAES DOS SANTOS")</f>
        <v>MARIA JÚLIA MORAES DOS SANTOS</v>
      </c>
      <c r="L433" s="146" t="str">
        <f>IFERROR(__xludf.dummyfunction("""COMPUTED_VALUE"""),"180.567.114-65")</f>
        <v>180.567.114-65</v>
      </c>
      <c r="M433" s="146" t="str">
        <f>IFERROR(__xludf.dummyfunction("""COMPUTED_VALUE"""),"08/12/2021")</f>
        <v>08/12/2021</v>
      </c>
      <c r="N433" s="3"/>
      <c r="O433" s="3" t="str">
        <f>IFERROR(__xludf.dummyfunction("""COMPUTED_VALUE"""),"0")</f>
        <v>0</v>
      </c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hidden="1" customHeight="1" spans="1:29">
      <c r="A434" s="3"/>
      <c r="B434" s="3"/>
      <c r="C434" s="4" t="str">
        <f>IFERROR(__xludf.dummyfunction("""COMPUTED_VALUE"""),"ESCOLA MUNICIPAL PROFESSOR ORLANDO BRENO")</f>
        <v>ESCOLA MUNICIPAL PROFESSOR ORLANDO BRENO</v>
      </c>
      <c r="D434" s="3" t="str">
        <f>IFERROR(__xludf.dummyfunction("""COMPUTED_VALUE"""),"26155028")</f>
        <v>26155028</v>
      </c>
      <c r="E434" s="3" t="str">
        <f>IFERROR(__xludf.dummyfunction("""COMPUTED_VALUE"""),"INFANTIL 4")</f>
        <v>INFANTIL 4</v>
      </c>
      <c r="F434" s="3" t="str">
        <f>IFERROR(__xludf.dummyfunction("""COMPUTED_VALUE"""),"Vespertino/Tarde")</f>
        <v>Vespertino/Tarde</v>
      </c>
      <c r="G434" s="3" t="str">
        <f>IFERROR(__xludf.dummyfunction("""COMPUTED_VALUE"""),"Comum")</f>
        <v>Comum</v>
      </c>
      <c r="H434" s="3" t="str">
        <f>IFERROR(__xludf.dummyfunction("""COMPUTED_VALUE"""),"7")</f>
        <v>7</v>
      </c>
      <c r="I434" s="145" t="str">
        <f>IFERROR(__xludf.dummyfunction("""COMPUTED_VALUE"""),"26072220061")</f>
        <v>26072220061</v>
      </c>
      <c r="J434" s="3" t="str">
        <f>IFERROR(__xludf.dummyfunction("""COMPUTED_VALUE"""),"29/07/2026 08:09:55")</f>
        <v>29/07/2026 08:09:55</v>
      </c>
      <c r="K434" s="3" t="str">
        <f>IFERROR(__xludf.dummyfunction("""COMPUTED_VALUE"""),"Lorena Gabriella da silva chagas")</f>
        <v>Lorena Gabriella da silva chagas</v>
      </c>
      <c r="L434" s="146" t="str">
        <f>IFERROR(__xludf.dummyfunction("""COMPUTED_VALUE"""),"176.811.174-07")</f>
        <v>176.811.174-07</v>
      </c>
      <c r="M434" s="146" t="str">
        <f>IFERROR(__xludf.dummyfunction("""COMPUTED_VALUE"""),"24/05/2021")</f>
        <v>24/05/2021</v>
      </c>
      <c r="N434" s="3"/>
      <c r="O434" s="3" t="str">
        <f>IFERROR(__xludf.dummyfunction("""COMPUTED_VALUE"""),"0")</f>
        <v>0</v>
      </c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hidden="1" customHeight="1" spans="1:29">
      <c r="A435" s="3"/>
      <c r="B435" s="3"/>
      <c r="C435" s="4" t="str">
        <f>IFERROR(__xludf.dummyfunction("""COMPUTED_VALUE"""),"ESCOLA MUNICIPAL PROFESSOR ORLANDO BRENO")</f>
        <v>ESCOLA MUNICIPAL PROFESSOR ORLANDO BRENO</v>
      </c>
      <c r="D435" s="3" t="str">
        <f>IFERROR(__xludf.dummyfunction("""COMPUTED_VALUE"""),"26155028")</f>
        <v>26155028</v>
      </c>
      <c r="E435" s="3" t="str">
        <f>IFERROR(__xludf.dummyfunction("""COMPUTED_VALUE"""),"INFANTIL 4")</f>
        <v>INFANTIL 4</v>
      </c>
      <c r="F435" s="3" t="str">
        <f>IFERROR(__xludf.dummyfunction("""COMPUTED_VALUE"""),"Vespertino/Tarde")</f>
        <v>Vespertino/Tarde</v>
      </c>
      <c r="G435" s="3" t="str">
        <f>IFERROR(__xludf.dummyfunction("""COMPUTED_VALUE"""),"Comum")</f>
        <v>Comum</v>
      </c>
      <c r="H435" s="3" t="str">
        <f>IFERROR(__xludf.dummyfunction("""COMPUTED_VALUE"""),"8")</f>
        <v>8</v>
      </c>
      <c r="I435" s="145" t="str">
        <f>IFERROR(__xludf.dummyfunction("""COMPUTED_VALUE"""),"26082089864")</f>
        <v>26082089864</v>
      </c>
      <c r="J435" s="3" t="str">
        <f>IFERROR(__xludf.dummyfunction("""COMPUTED_VALUE"""),"17/08/2026 11:37:20")</f>
        <v>17/08/2026 11:37:20</v>
      </c>
      <c r="K435" s="3" t="str">
        <f>IFERROR(__xludf.dummyfunction("""COMPUTED_VALUE"""),"HELENA VALENTINA DA SILVA ALMEIDA")</f>
        <v>HELENA VALENTINA DA SILVA ALMEIDA</v>
      </c>
      <c r="L435" s="146" t="str">
        <f>IFERROR(__xludf.dummyfunction("""COMPUTED_VALUE"""),"181.878.724-54")</f>
        <v>181.878.724-54</v>
      </c>
      <c r="M435" s="146" t="str">
        <f>IFERROR(__xludf.dummyfunction("""COMPUTED_VALUE"""),"10/03/2022")</f>
        <v>10/03/2022</v>
      </c>
      <c r="N435" s="3"/>
      <c r="O435" s="3" t="str">
        <f>IFERROR(__xludf.dummyfunction("""COMPUTED_VALUE"""),"0")</f>
        <v>0</v>
      </c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hidden="1" customHeight="1" spans="1:29">
      <c r="A436" s="3"/>
      <c r="B436" s="3"/>
      <c r="C436" s="4" t="str">
        <f>IFERROR(__xludf.dummyfunction("""COMPUTED_VALUE"""),"ESCOLA MUNICIPAL PROFESSOR ORLANDO BRENO")</f>
        <v>ESCOLA MUNICIPAL PROFESSOR ORLANDO BRENO</v>
      </c>
      <c r="D436" s="3" t="str">
        <f>IFERROR(__xludf.dummyfunction("""COMPUTED_VALUE"""),"26155028")</f>
        <v>26155028</v>
      </c>
      <c r="E436" s="3" t="str">
        <f>IFERROR(__xludf.dummyfunction("""COMPUTED_VALUE"""),"INFANTIL 4")</f>
        <v>INFANTIL 4</v>
      </c>
      <c r="F436" s="3" t="str">
        <f>IFERROR(__xludf.dummyfunction("""COMPUTED_VALUE"""),"Vespertino/Tarde")</f>
        <v>Vespertino/Tarde</v>
      </c>
      <c r="G436" s="3" t="str">
        <f>IFERROR(__xludf.dummyfunction("""COMPUTED_VALUE"""),"Comum")</f>
        <v>Comum</v>
      </c>
      <c r="H436" s="3" t="str">
        <f>IFERROR(__xludf.dummyfunction("""COMPUTED_VALUE"""),"9")</f>
        <v>9</v>
      </c>
      <c r="I436" s="145" t="str">
        <f>IFERROR(__xludf.dummyfunction("""COMPUTED_VALUE"""),"26092412684")</f>
        <v>26092412684</v>
      </c>
      <c r="J436" s="3" t="str">
        <f>IFERROR(__xludf.dummyfunction("""COMPUTED_VALUE"""),"09/09/2026 07:34:36")</f>
        <v>09/09/2026 07:34:36</v>
      </c>
      <c r="K436" s="3" t="str">
        <f>IFERROR(__xludf.dummyfunction("""COMPUTED_VALUE"""),"AYLLA SOPHIA CABRAL DOS SANTOS")</f>
        <v>AYLLA SOPHIA CABRAL DOS SANTOS</v>
      </c>
      <c r="L436" s="146" t="str">
        <f>IFERROR(__xludf.dummyfunction("""COMPUTED_VALUE"""),"178.153.334-27")</f>
        <v>178.153.334-27</v>
      </c>
      <c r="M436" s="146" t="str">
        <f>IFERROR(__xludf.dummyfunction("""COMPUTED_VALUE"""),"02/06/2021")</f>
        <v>02/06/2021</v>
      </c>
      <c r="N436" s="3"/>
      <c r="O436" s="3" t="str">
        <f>IFERROR(__xludf.dummyfunction("""COMPUTED_VALUE"""),"0")</f>
        <v>0</v>
      </c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hidden="1" customHeight="1" spans="1:29">
      <c r="A437" s="3"/>
      <c r="B437" s="3"/>
      <c r="C437" s="4" t="str">
        <f>IFERROR(__xludf.dummyfunction("""COMPUTED_VALUE"""),"ESCOLA MUNICIPAL PROFESSOR ORLANDO BRENO")</f>
        <v>ESCOLA MUNICIPAL PROFESSOR ORLANDO BRENO</v>
      </c>
      <c r="D437" s="3" t="str">
        <f>IFERROR(__xludf.dummyfunction("""COMPUTED_VALUE"""),"26155028")</f>
        <v>26155028</v>
      </c>
      <c r="E437" s="3" t="str">
        <f>IFERROR(__xludf.dummyfunction("""COMPUTED_VALUE"""),"INFANTIL 4")</f>
        <v>INFANTIL 4</v>
      </c>
      <c r="F437" s="3" t="str">
        <f>IFERROR(__xludf.dummyfunction("""COMPUTED_VALUE"""),"Vespertino/Tarde")</f>
        <v>Vespertino/Tarde</v>
      </c>
      <c r="G437" s="3" t="str">
        <f>IFERROR(__xludf.dummyfunction("""COMPUTED_VALUE"""),"Comum")</f>
        <v>Comum</v>
      </c>
      <c r="H437" s="3" t="str">
        <f>IFERROR(__xludf.dummyfunction("""COMPUTED_VALUE"""),"10")</f>
        <v>10</v>
      </c>
      <c r="I437" s="145" t="str">
        <f>IFERROR(__xludf.dummyfunction("""COMPUTED_VALUE"""),"26092924320")</f>
        <v>26092924320</v>
      </c>
      <c r="J437" s="3" t="str">
        <f>IFERROR(__xludf.dummyfunction("""COMPUTED_VALUE"""),"10/09/2026 11:42:25")</f>
        <v>10/09/2026 11:42:25</v>
      </c>
      <c r="K437" s="3" t="str">
        <f>IFERROR(__xludf.dummyfunction("""COMPUTED_VALUE"""),"CLEYTON VINICIOS DE ALMEIDA CARNEIRO")</f>
        <v>CLEYTON VINICIOS DE ALMEIDA CARNEIRO</v>
      </c>
      <c r="L437" s="146" t="str">
        <f>IFERROR(__xludf.dummyfunction("""COMPUTED_VALUE"""),"177.243.264-44")</f>
        <v>177.243.264-44</v>
      </c>
      <c r="M437" s="146" t="str">
        <f>IFERROR(__xludf.dummyfunction("""COMPUTED_VALUE"""),"07/06/2021")</f>
        <v>07/06/2021</v>
      </c>
      <c r="N437" s="3"/>
      <c r="O437" s="3" t="str">
        <f>IFERROR(__xludf.dummyfunction("""COMPUTED_VALUE"""),"0")</f>
        <v>0</v>
      </c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hidden="1" customHeight="1" spans="1:29">
      <c r="A438" s="3"/>
      <c r="B438" s="3"/>
      <c r="C438" s="4" t="str">
        <f>IFERROR(__xludf.dummyfunction("""COMPUTED_VALUE"""),"ESCOLA MUNICIPAL PROFESSOR SILVIO ROMERO VIEIRA")</f>
        <v>ESCOLA MUNICIPAL PROFESSOR SILVIO ROMERO VIEIRA</v>
      </c>
      <c r="D438" s="3" t="str">
        <f>IFERROR(__xludf.dummyfunction("""COMPUTED_VALUE"""),"26188155")</f>
        <v>26188155</v>
      </c>
      <c r="E438" s="3" t="str">
        <f>IFERROR(__xludf.dummyfunction("""COMPUTED_VALUE"""),"INFANTIL 4")</f>
        <v>INFANTIL 4</v>
      </c>
      <c r="F438" s="3" t="str">
        <f>IFERROR(__xludf.dummyfunction("""COMPUTED_VALUE"""),"Matutino/Manhã")</f>
        <v>Matutino/Manhã</v>
      </c>
      <c r="G438" s="3" t="str">
        <f>IFERROR(__xludf.dummyfunction("""COMPUTED_VALUE"""),"Comum")</f>
        <v>Comum</v>
      </c>
      <c r="H438" s="3" t="str">
        <f>IFERROR(__xludf.dummyfunction("""COMPUTED_VALUE"""),"1")</f>
        <v>1</v>
      </c>
      <c r="I438" s="147" t="str">
        <f>IFERROR(__xludf.dummyfunction("""COMPUTED_VALUE"""),"26062010259")</f>
        <v>26062010259</v>
      </c>
      <c r="J438" s="3" t="str">
        <f>IFERROR(__xludf.dummyfunction("""COMPUTED_VALUE"""),"26/06/2026 13:02:03")</f>
        <v>26/06/2026 13:02:03</v>
      </c>
      <c r="K438" s="3" t="str">
        <f>IFERROR(__xludf.dummyfunction("""COMPUTED_VALUE"""),"Wesly Miguel Nunes Soares da Fonseca")</f>
        <v>Wesly Miguel Nunes Soares da Fonseca</v>
      </c>
      <c r="L438" s="146" t="str">
        <f>IFERROR(__xludf.dummyfunction("""COMPUTED_VALUE"""),"176.648.494-89")</f>
        <v>176.648.494-89</v>
      </c>
      <c r="M438" s="146" t="str">
        <f>IFERROR(__xludf.dummyfunction("""COMPUTED_VALUE"""),"11/05/2021")</f>
        <v>11/05/2021</v>
      </c>
      <c r="N438" s="3"/>
      <c r="O438" s="3" t="str">
        <f>IFERROR(__xludf.dummyfunction("""COMPUTED_VALUE"""),"0")</f>
        <v>0</v>
      </c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hidden="1" customHeight="1" spans="1:29">
      <c r="A439" s="3"/>
      <c r="B439" s="3"/>
      <c r="C439" s="4" t="str">
        <f>IFERROR(__xludf.dummyfunction("""COMPUTED_VALUE"""),"ESCOLA MUNICIPAL PROFESSOR SILVIO ROMERO VIEIRA")</f>
        <v>ESCOLA MUNICIPAL PROFESSOR SILVIO ROMERO VIEIRA</v>
      </c>
      <c r="D439" s="3" t="str">
        <f>IFERROR(__xludf.dummyfunction("""COMPUTED_VALUE"""),"26188155")</f>
        <v>26188155</v>
      </c>
      <c r="E439" s="3" t="str">
        <f>IFERROR(__xludf.dummyfunction("""COMPUTED_VALUE"""),"INFANTIL 5")</f>
        <v>INFANTIL 5</v>
      </c>
      <c r="F439" s="3" t="str">
        <f>IFERROR(__xludf.dummyfunction("""COMPUTED_VALUE"""),"Matutino/Manhã")</f>
        <v>Matutino/Manhã</v>
      </c>
      <c r="G439" s="3" t="str">
        <f>IFERROR(__xludf.dummyfunction("""COMPUTED_VALUE"""),"Comum")</f>
        <v>Comum</v>
      </c>
      <c r="H439" s="3" t="str">
        <f>IFERROR(__xludf.dummyfunction("""COMPUTED_VALUE"""),"1")</f>
        <v>1</v>
      </c>
      <c r="I439" s="147" t="str">
        <f>IFERROR(__xludf.dummyfunction("""COMPUTED_VALUE"""),"26012655447")</f>
        <v>26012655447</v>
      </c>
      <c r="J439" s="3" t="str">
        <f>IFERROR(__xludf.dummyfunction("""COMPUTED_VALUE"""),"28/01/2026 11:27:08")</f>
        <v>28/01/2026 11:27:08</v>
      </c>
      <c r="K439" s="3" t="str">
        <f>IFERROR(__xludf.dummyfunction("""COMPUTED_VALUE"""),"MIRIAM ALICE NOGUEIRA DA SILVA")</f>
        <v>MIRIAM ALICE NOGUEIRA DA SILVA</v>
      </c>
      <c r="L439" s="146" t="str">
        <f>IFERROR(__xludf.dummyfunction("""COMPUTED_VALUE"""),"172.735.274-24")</f>
        <v>172.735.274-24</v>
      </c>
      <c r="M439" s="146" t="str">
        <f>IFERROR(__xludf.dummyfunction("""COMPUTED_VALUE"""),"20/07/2020")</f>
        <v>20/07/2020</v>
      </c>
      <c r="N439" s="3"/>
      <c r="O439" s="3" t="str">
        <f>IFERROR(__xludf.dummyfunction("""COMPUTED_VALUE"""),"0")</f>
        <v>0</v>
      </c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hidden="1" customHeight="1" spans="1:29">
      <c r="A440" s="3"/>
      <c r="B440" s="3"/>
      <c r="C440" s="4" t="str">
        <f>IFERROR(__xludf.dummyfunction("""COMPUTED_VALUE"""),"ESCOLA MUNICIPAL PROFESSORA LUZIANA MARIA PEREIRA")</f>
        <v>ESCOLA MUNICIPAL PROFESSORA LUZIANA MARIA PEREIRA</v>
      </c>
      <c r="D440" s="3" t="str">
        <f>IFERROR(__xludf.dummyfunction("""COMPUTED_VALUE"""),"26183145")</f>
        <v>26183145</v>
      </c>
      <c r="E440" s="3" t="str">
        <f>IFERROR(__xludf.dummyfunction("""COMPUTED_VALUE"""),"INFANTIL 4")</f>
        <v>INFANTIL 4</v>
      </c>
      <c r="F440" s="3" t="str">
        <f>IFERROR(__xludf.dummyfunction("""COMPUTED_VALUE"""),"Matutino/Manhã")</f>
        <v>Matutino/Manhã</v>
      </c>
      <c r="G440" s="3" t="str">
        <f>IFERROR(__xludf.dummyfunction("""COMPUTED_VALUE"""),"Comum")</f>
        <v>Comum</v>
      </c>
      <c r="H440" s="3" t="str">
        <f>IFERROR(__xludf.dummyfunction("""COMPUTED_VALUE"""),"1")</f>
        <v>1</v>
      </c>
      <c r="I440" s="147" t="str">
        <f>IFERROR(__xludf.dummyfunction("""COMPUTED_VALUE"""),"26052716390")</f>
        <v>26052716390</v>
      </c>
      <c r="J440" s="3" t="str">
        <f>IFERROR(__xludf.dummyfunction("""COMPUTED_VALUE"""),"13/05/2026 10:35:32")</f>
        <v>13/05/2026 10:35:32</v>
      </c>
      <c r="K440" s="3" t="str">
        <f>IFERROR(__xludf.dummyfunction("""COMPUTED_VALUE"""),"GABRIEL VITOR DOS SANTOS")</f>
        <v>GABRIEL VITOR DOS SANTOS</v>
      </c>
      <c r="L440" s="146" t="str">
        <f>IFERROR(__xludf.dummyfunction("""COMPUTED_VALUE"""),"176.802.894-09")</f>
        <v>176.802.894-09</v>
      </c>
      <c r="M440" s="146" t="str">
        <f>IFERROR(__xludf.dummyfunction("""COMPUTED_VALUE"""),"16/05/2021")</f>
        <v>16/05/2021</v>
      </c>
      <c r="N440" s="3"/>
      <c r="O440" s="3" t="str">
        <f>IFERROR(__xludf.dummyfunction("""COMPUTED_VALUE"""),"0")</f>
        <v>0</v>
      </c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hidden="1" customHeight="1" spans="1:29">
      <c r="A441" s="3"/>
      <c r="B441" s="3"/>
      <c r="C441" s="4" t="str">
        <f>IFERROR(__xludf.dummyfunction("""COMPUTED_VALUE"""),"ESCOLA MUNICIPAL PROFESSORA LUZIANA MARIA PEREIRA")</f>
        <v>ESCOLA MUNICIPAL PROFESSORA LUZIANA MARIA PEREIRA</v>
      </c>
      <c r="D441" s="3" t="str">
        <f>IFERROR(__xludf.dummyfunction("""COMPUTED_VALUE"""),"26183145")</f>
        <v>26183145</v>
      </c>
      <c r="E441" s="3" t="str">
        <f>IFERROR(__xludf.dummyfunction("""COMPUTED_VALUE"""),"INFANTIL 4")</f>
        <v>INFANTIL 4</v>
      </c>
      <c r="F441" s="3" t="str">
        <f>IFERROR(__xludf.dummyfunction("""COMPUTED_VALUE"""),"Vespertino/Tarde")</f>
        <v>Vespertino/Tarde</v>
      </c>
      <c r="G441" s="3" t="str">
        <f>IFERROR(__xludf.dummyfunction("""COMPUTED_VALUE"""),"Comum")</f>
        <v>Comum</v>
      </c>
      <c r="H441" s="3" t="str">
        <f>IFERROR(__xludf.dummyfunction("""COMPUTED_VALUE"""),"1")</f>
        <v>1</v>
      </c>
      <c r="I441" s="147" t="str">
        <f>IFERROR(__xludf.dummyfunction("""COMPUTED_VALUE"""),"26022672322")</f>
        <v>26022672322</v>
      </c>
      <c r="J441" s="3" t="str">
        <f>IFERROR(__xludf.dummyfunction("""COMPUTED_VALUE"""),"05/02/2026 15:15:59")</f>
        <v>05/02/2026 15:15:59</v>
      </c>
      <c r="K441" s="3" t="str">
        <f>IFERROR(__xludf.dummyfunction("""COMPUTED_VALUE"""),"LEVI CORREIA DA SILVA SOARES")</f>
        <v>LEVI CORREIA DA SILVA SOARES</v>
      </c>
      <c r="L441" s="146" t="str">
        <f>IFERROR(__xludf.dummyfunction("""COMPUTED_VALUE"""),"597.700.368-46")</f>
        <v>597.700.368-46</v>
      </c>
      <c r="M441" s="146" t="str">
        <f>IFERROR(__xludf.dummyfunction("""COMPUTED_VALUE"""),"28/09/2021")</f>
        <v>28/09/2021</v>
      </c>
      <c r="N441" s="3"/>
      <c r="O441" s="3" t="str">
        <f>IFERROR(__xludf.dummyfunction("""COMPUTED_VALUE"""),"0")</f>
        <v>0</v>
      </c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hidden="1" customHeight="1" spans="1:29">
      <c r="A442" s="3"/>
      <c r="B442" s="3"/>
      <c r="C442" s="4" t="str">
        <f>IFERROR(__xludf.dummyfunction("""COMPUTED_VALUE"""),"ESCOLA MUNICIPAL PROFESSORA LUZIANA MARIA PEREIRA")</f>
        <v>ESCOLA MUNICIPAL PROFESSORA LUZIANA MARIA PEREIRA</v>
      </c>
      <c r="D442" s="3" t="str">
        <f>IFERROR(__xludf.dummyfunction("""COMPUTED_VALUE"""),"26183145")</f>
        <v>26183145</v>
      </c>
      <c r="E442" s="3" t="str">
        <f>IFERROR(__xludf.dummyfunction("""COMPUTED_VALUE"""),"INFANTIL 4")</f>
        <v>INFANTIL 4</v>
      </c>
      <c r="F442" s="3" t="str">
        <f>IFERROR(__xludf.dummyfunction("""COMPUTED_VALUE"""),"Vespertino/Tarde")</f>
        <v>Vespertino/Tarde</v>
      </c>
      <c r="G442" s="3" t="str">
        <f>IFERROR(__xludf.dummyfunction("""COMPUTED_VALUE"""),"Comum")</f>
        <v>Comum</v>
      </c>
      <c r="H442" s="3" t="str">
        <f>IFERROR(__xludf.dummyfunction("""COMPUTED_VALUE"""),"2")</f>
        <v>2</v>
      </c>
      <c r="I442" s="147" t="str">
        <f>IFERROR(__xludf.dummyfunction("""COMPUTED_VALUE"""),"26032683785")</f>
        <v>26032683785</v>
      </c>
      <c r="J442" s="3" t="str">
        <f>IFERROR(__xludf.dummyfunction("""COMPUTED_VALUE"""),"03/03/2026 10:08:56")</f>
        <v>03/03/2026 10:08:56</v>
      </c>
      <c r="K442" s="3" t="str">
        <f>IFERROR(__xludf.dummyfunction("""COMPUTED_VALUE"""),"AURORA BEATRIZ DA SILVA BEZERRA")</f>
        <v>AURORA BEATRIZ DA SILVA BEZERRA</v>
      </c>
      <c r="L442" s="146" t="str">
        <f>IFERROR(__xludf.dummyfunction("""COMPUTED_VALUE"""),"178.366.824-55")</f>
        <v>178.366.824-55</v>
      </c>
      <c r="M442" s="146" t="str">
        <f>IFERROR(__xludf.dummyfunction("""COMPUTED_VALUE"""),"08/09/2021")</f>
        <v>08/09/2021</v>
      </c>
      <c r="N442" s="3"/>
      <c r="O442" s="3" t="str">
        <f>IFERROR(__xludf.dummyfunction("""COMPUTED_VALUE"""),"0")</f>
        <v>0</v>
      </c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hidden="1" customHeight="1" spans="1:29">
      <c r="A443" s="3"/>
      <c r="B443" s="3"/>
      <c r="C443" s="4" t="str">
        <f>IFERROR(__xludf.dummyfunction("""COMPUTED_VALUE"""),"ESCOLA MUNICIPAL PROFESSORA LUZIANA MARIA PEREIRA")</f>
        <v>ESCOLA MUNICIPAL PROFESSORA LUZIANA MARIA PEREIRA</v>
      </c>
      <c r="D443" s="3" t="str">
        <f>IFERROR(__xludf.dummyfunction("""COMPUTED_VALUE"""),"26183145")</f>
        <v>26183145</v>
      </c>
      <c r="E443" s="3" t="str">
        <f>IFERROR(__xludf.dummyfunction("""COMPUTED_VALUE"""),"INFANTIL 5")</f>
        <v>INFANTIL 5</v>
      </c>
      <c r="F443" s="3" t="str">
        <f>IFERROR(__xludf.dummyfunction("""COMPUTED_VALUE"""),"Matutino/Manhã")</f>
        <v>Matutino/Manhã</v>
      </c>
      <c r="G443" s="3" t="str">
        <f>IFERROR(__xludf.dummyfunction("""COMPUTED_VALUE"""),"Comum")</f>
        <v>Comum</v>
      </c>
      <c r="H443" s="3" t="str">
        <f>IFERROR(__xludf.dummyfunction("""COMPUTED_VALUE"""),"1")</f>
        <v>1</v>
      </c>
      <c r="I443" s="147" t="str">
        <f>IFERROR(__xludf.dummyfunction("""COMPUTED_VALUE"""),"26012402811")</f>
        <v>26012402811</v>
      </c>
      <c r="J443" s="3" t="str">
        <f>IFERROR(__xludf.dummyfunction("""COMPUTED_VALUE"""),"28/01/2026 13:40:28")</f>
        <v>28/01/2026 13:40:28</v>
      </c>
      <c r="K443" s="3" t="str">
        <f>IFERROR(__xludf.dummyfunction("""COMPUTED_VALUE"""),"VALENTINA VICTORIA MERCES DA SILVA")</f>
        <v>VALENTINA VICTORIA MERCES DA SILVA</v>
      </c>
      <c r="L443" s="146" t="str">
        <f>IFERROR(__xludf.dummyfunction("""COMPUTED_VALUE"""),"176.158.214-36")</f>
        <v>176.158.214-36</v>
      </c>
      <c r="M443" s="146" t="str">
        <f>IFERROR(__xludf.dummyfunction("""COMPUTED_VALUE"""),"28/03/2021")</f>
        <v>28/03/2021</v>
      </c>
      <c r="N443" s="3"/>
      <c r="O443" s="3" t="str">
        <f>IFERROR(__xludf.dummyfunction("""COMPUTED_VALUE"""),"0")</f>
        <v>0</v>
      </c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hidden="1" customHeight="1" spans="1:29">
      <c r="A444" s="3"/>
      <c r="B444" s="3"/>
      <c r="C444" s="4" t="str">
        <f>IFERROR(__xludf.dummyfunction("""COMPUTED_VALUE"""),"ESCOLA MUNICIPAL PROFESSORA LUZIANA MARIA PEREIRA")</f>
        <v>ESCOLA MUNICIPAL PROFESSORA LUZIANA MARIA PEREIRA</v>
      </c>
      <c r="D444" s="3" t="str">
        <f>IFERROR(__xludf.dummyfunction("""COMPUTED_VALUE"""),"26183145")</f>
        <v>26183145</v>
      </c>
      <c r="E444" s="3" t="str">
        <f>IFERROR(__xludf.dummyfunction("""COMPUTED_VALUE"""),"INFANTIL 5")</f>
        <v>INFANTIL 5</v>
      </c>
      <c r="F444" s="3" t="str">
        <f>IFERROR(__xludf.dummyfunction("""COMPUTED_VALUE"""),"Matutino/Manhã")</f>
        <v>Matutino/Manhã</v>
      </c>
      <c r="G444" s="3" t="str">
        <f>IFERROR(__xludf.dummyfunction("""COMPUTED_VALUE"""),"Comum")</f>
        <v>Comum</v>
      </c>
      <c r="H444" s="3" t="str">
        <f>IFERROR(__xludf.dummyfunction("""COMPUTED_VALUE"""),"2")</f>
        <v>2</v>
      </c>
      <c r="I444" s="147" t="str">
        <f>IFERROR(__xludf.dummyfunction("""COMPUTED_VALUE"""),"26012678498")</f>
        <v>26012678498</v>
      </c>
      <c r="J444" s="3" t="str">
        <f>IFERROR(__xludf.dummyfunction("""COMPUTED_VALUE"""),"29/01/2026 16:10:52")</f>
        <v>29/01/2026 16:10:52</v>
      </c>
      <c r="K444" s="3" t="str">
        <f>IFERROR(__xludf.dummyfunction("""COMPUTED_VALUE"""),"ADRIEL SANCHEZ ALVES DA SILVA")</f>
        <v>ADRIEL SANCHEZ ALVES DA SILVA</v>
      </c>
      <c r="L444" s="146" t="str">
        <f>IFERROR(__xludf.dummyfunction("""COMPUTED_VALUE"""),"173.921.024-78")</f>
        <v>173.921.024-78</v>
      </c>
      <c r="M444" s="146" t="str">
        <f>IFERROR(__xludf.dummyfunction("""COMPUTED_VALUE"""),"22/10/2020")</f>
        <v>22/10/2020</v>
      </c>
      <c r="N444" s="3"/>
      <c r="O444" s="3" t="str">
        <f>IFERROR(__xludf.dummyfunction("""COMPUTED_VALUE"""),"0")</f>
        <v>0</v>
      </c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hidden="1" customHeight="1" spans="1:29">
      <c r="A445" s="3"/>
      <c r="B445" s="3"/>
      <c r="C445" s="4" t="str">
        <f>IFERROR(__xludf.dummyfunction("""COMPUTED_VALUE"""),"ESCOLA MUNICIPAL PROFESSORA LUZIANA MARIA PEREIRA")</f>
        <v>ESCOLA MUNICIPAL PROFESSORA LUZIANA MARIA PEREIRA</v>
      </c>
      <c r="D445" s="3" t="str">
        <f>IFERROR(__xludf.dummyfunction("""COMPUTED_VALUE"""),"26183145")</f>
        <v>26183145</v>
      </c>
      <c r="E445" s="3" t="str">
        <f>IFERROR(__xludf.dummyfunction("""COMPUTED_VALUE"""),"INFANTIL 5")</f>
        <v>INFANTIL 5</v>
      </c>
      <c r="F445" s="3" t="str">
        <f>IFERROR(__xludf.dummyfunction("""COMPUTED_VALUE"""),"Matutino/Manhã")</f>
        <v>Matutino/Manhã</v>
      </c>
      <c r="G445" s="3" t="str">
        <f>IFERROR(__xludf.dummyfunction("""COMPUTED_VALUE"""),"Comum")</f>
        <v>Comum</v>
      </c>
      <c r="H445" s="3" t="str">
        <f>IFERROR(__xludf.dummyfunction("""COMPUTED_VALUE"""),"3")</f>
        <v>3</v>
      </c>
      <c r="I445" s="147" t="str">
        <f>IFERROR(__xludf.dummyfunction("""COMPUTED_VALUE"""),"26032074783")</f>
        <v>26032074783</v>
      </c>
      <c r="J445" s="3" t="str">
        <f>IFERROR(__xludf.dummyfunction("""COMPUTED_VALUE"""),"11/03/2026 14:57:40")</f>
        <v>11/03/2026 14:57:40</v>
      </c>
      <c r="K445" s="3" t="str">
        <f>IFERROR(__xludf.dummyfunction("""COMPUTED_VALUE"""),"LARA RODRIGUES DO NASCIMENTO")</f>
        <v>LARA RODRIGUES DO NASCIMENTO</v>
      </c>
      <c r="L445" s="146" t="str">
        <f>IFERROR(__xludf.dummyfunction("""COMPUTED_VALUE"""),"175.107.604-02")</f>
        <v>175.107.604-02</v>
      </c>
      <c r="M445" s="146" t="str">
        <f>IFERROR(__xludf.dummyfunction("""COMPUTED_VALUE"""),"04/12/2020")</f>
        <v>04/12/2020</v>
      </c>
      <c r="N445" s="3"/>
      <c r="O445" s="3" t="str">
        <f>IFERROR(__xludf.dummyfunction("""COMPUTED_VALUE"""),"0")</f>
        <v>0</v>
      </c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hidden="1" customHeight="1" spans="1:29">
      <c r="A446" s="3"/>
      <c r="B446" s="3"/>
      <c r="C446" s="4" t="str">
        <f>IFERROR(__xludf.dummyfunction("""COMPUTED_VALUE"""),"ESCOLA MUNICIPAL PROFESSORA LUZIANA MARIA PEREIRA")</f>
        <v>ESCOLA MUNICIPAL PROFESSORA LUZIANA MARIA PEREIRA</v>
      </c>
      <c r="D446" s="3" t="str">
        <f>IFERROR(__xludf.dummyfunction("""COMPUTED_VALUE"""),"26183145")</f>
        <v>26183145</v>
      </c>
      <c r="E446" s="3" t="str">
        <f>IFERROR(__xludf.dummyfunction("""COMPUTED_VALUE"""),"INFANTIL 5")</f>
        <v>INFANTIL 5</v>
      </c>
      <c r="F446" s="3" t="str">
        <f>IFERROR(__xludf.dummyfunction("""COMPUTED_VALUE"""),"Matutino/Manhã")</f>
        <v>Matutino/Manhã</v>
      </c>
      <c r="G446" s="3" t="str">
        <f>IFERROR(__xludf.dummyfunction("""COMPUTED_VALUE"""),"Comum")</f>
        <v>Comum</v>
      </c>
      <c r="H446" s="3" t="str">
        <f>IFERROR(__xludf.dummyfunction("""COMPUTED_VALUE"""),"4")</f>
        <v>4</v>
      </c>
      <c r="I446" s="147" t="str">
        <f>IFERROR(__xludf.dummyfunction("""COMPUTED_VALUE"""),"26032604864")</f>
        <v>26032604864</v>
      </c>
      <c r="J446" s="3" t="str">
        <f>IFERROR(__xludf.dummyfunction("""COMPUTED_VALUE"""),"27/03/2026 12:38:23")</f>
        <v>27/03/2026 12:38:23</v>
      </c>
      <c r="K446" s="3" t="str">
        <f>IFERROR(__xludf.dummyfunction("""COMPUTED_VALUE"""),"JOÃO LUCAS WUTEMBERG DOS SANTOS")</f>
        <v>JOÃO LUCAS WUTEMBERG DOS SANTOS</v>
      </c>
      <c r="L446" s="146" t="str">
        <f>IFERROR(__xludf.dummyfunction("""COMPUTED_VALUE"""),"175.860.024-10")</f>
        <v>175.860.024-10</v>
      </c>
      <c r="M446" s="146" t="str">
        <f>IFERROR(__xludf.dummyfunction("""COMPUTED_VALUE"""),"11/03/2021")</f>
        <v>11/03/2021</v>
      </c>
      <c r="N446" s="3"/>
      <c r="O446" s="3" t="str">
        <f>IFERROR(__xludf.dummyfunction("""COMPUTED_VALUE"""),"0")</f>
        <v>0</v>
      </c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hidden="1" customHeight="1" spans="1:29">
      <c r="A447" s="3"/>
      <c r="B447" s="3"/>
      <c r="C447" s="4" t="str">
        <f>IFERROR(__xludf.dummyfunction("""COMPUTED_VALUE"""),"ESCOLA MUNICIPAL PROFESSORA LUZIANA MARIA PEREIRA")</f>
        <v>ESCOLA MUNICIPAL PROFESSORA LUZIANA MARIA PEREIRA</v>
      </c>
      <c r="D447" s="3" t="str">
        <f>IFERROR(__xludf.dummyfunction("""COMPUTED_VALUE"""),"26183145")</f>
        <v>26183145</v>
      </c>
      <c r="E447" s="3" t="str">
        <f>IFERROR(__xludf.dummyfunction("""COMPUTED_VALUE"""),"INFANTIL 5")</f>
        <v>INFANTIL 5</v>
      </c>
      <c r="F447" s="3" t="str">
        <f>IFERROR(__xludf.dummyfunction("""COMPUTED_VALUE"""),"Vespertino/Tarde")</f>
        <v>Vespertino/Tarde</v>
      </c>
      <c r="G447" s="3" t="str">
        <f>IFERROR(__xludf.dummyfunction("""COMPUTED_VALUE"""),"Comum")</f>
        <v>Comum</v>
      </c>
      <c r="H447" s="3" t="str">
        <f>IFERROR(__xludf.dummyfunction("""COMPUTED_VALUE"""),"1")</f>
        <v>1</v>
      </c>
      <c r="I447" s="147" t="str">
        <f>IFERROR(__xludf.dummyfunction("""COMPUTED_VALUE"""),"26022634763")</f>
        <v>26022634763</v>
      </c>
      <c r="J447" s="3" t="str">
        <f>IFERROR(__xludf.dummyfunction("""COMPUTED_VALUE"""),"02/02/2026 19:02:20")</f>
        <v>02/02/2026 19:02:20</v>
      </c>
      <c r="K447" s="3" t="str">
        <f>IFERROR(__xludf.dummyfunction("""COMPUTED_VALUE"""),"ÁGATA VITÓRIA DE LIMA GOMES")</f>
        <v>ÁGATA VITÓRIA DE LIMA GOMES</v>
      </c>
      <c r="L447" s="146" t="str">
        <f>IFERROR(__xludf.dummyfunction("""COMPUTED_VALUE"""),"175.162.524-92")</f>
        <v>175.162.524-92</v>
      </c>
      <c r="M447" s="146" t="str">
        <f>IFERROR(__xludf.dummyfunction("""COMPUTED_VALUE"""),"14/01/2021")</f>
        <v>14/01/2021</v>
      </c>
      <c r="N447" s="3"/>
      <c r="O447" s="3" t="str">
        <f>IFERROR(__xludf.dummyfunction("""COMPUTED_VALUE"""),"0")</f>
        <v>0</v>
      </c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hidden="1" customHeight="1" spans="1:29">
      <c r="A448" s="3"/>
      <c r="B448" s="3"/>
      <c r="C448" s="4" t="str">
        <f>IFERROR(__xludf.dummyfunction("""COMPUTED_VALUE"""),"ESCOLA MUNICIPAL RURAL MARIA ÂNGELA DE ALBUQUERQUE MARANHÃO")</f>
        <v>ESCOLA MUNICIPAL RURAL MARIA ÂNGELA DE ALBUQUERQUE MARANHÃO</v>
      </c>
      <c r="D448" s="3" t="str">
        <f>IFERROR(__xludf.dummyfunction("""COMPUTED_VALUE"""),"26109069")</f>
        <v>26109069</v>
      </c>
      <c r="E448" s="3" t="str">
        <f>IFERROR(__xludf.dummyfunction("""COMPUTED_VALUE"""),"INFANTIL 4")</f>
        <v>INFANTIL 4</v>
      </c>
      <c r="F448" s="3" t="str">
        <f>IFERROR(__xludf.dummyfunction("""COMPUTED_VALUE"""),"Matutino/Manhã")</f>
        <v>Matutino/Manhã</v>
      </c>
      <c r="G448" s="3" t="str">
        <f>IFERROR(__xludf.dummyfunction("""COMPUTED_VALUE"""),"Comum")</f>
        <v>Comum</v>
      </c>
      <c r="H448" s="3" t="str">
        <f>IFERROR(__xludf.dummyfunction("""COMPUTED_VALUE"""),"1")</f>
        <v>1</v>
      </c>
      <c r="I448" s="147" t="str">
        <f>IFERROR(__xludf.dummyfunction("""COMPUTED_VALUE"""),"26092994091")</f>
        <v>26092994091</v>
      </c>
      <c r="J448" s="3" t="str">
        <f>IFERROR(__xludf.dummyfunction("""COMPUTED_VALUE"""),"20/09/2026 21:06:32")</f>
        <v>20/09/2026 21:06:32</v>
      </c>
      <c r="K448" s="3" t="str">
        <f>IFERROR(__xludf.dummyfunction("""COMPUTED_VALUE"""),"Derick da Silva Lourenço")</f>
        <v>Derick da Silva Lourenço</v>
      </c>
      <c r="L448" s="146" t="str">
        <f>IFERROR(__xludf.dummyfunction("""COMPUTED_VALUE"""),"176.226.494-30")</f>
        <v>176.226.494-30</v>
      </c>
      <c r="M448" s="146" t="str">
        <f>IFERROR(__xludf.dummyfunction("""COMPUTED_VALUE"""),"05/04/2021")</f>
        <v>05/04/2021</v>
      </c>
      <c r="N448" s="3"/>
      <c r="O448" s="3" t="str">
        <f>IFERROR(__xludf.dummyfunction("""COMPUTED_VALUE"""),"0")</f>
        <v>0</v>
      </c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hidden="1" customHeight="1" spans="1:29">
      <c r="A449" s="3"/>
      <c r="B449" s="3"/>
      <c r="C449" s="4" t="str">
        <f>IFERROR(__xludf.dummyfunction("""COMPUTED_VALUE"""),"ESCOLA MUNICIPAL RURAL MARIA FEIJÓ")</f>
        <v>ESCOLA MUNICIPAL RURAL MARIA FEIJÓ</v>
      </c>
      <c r="D449" s="3" t="str">
        <f>IFERROR(__xludf.dummyfunction("""COMPUTED_VALUE"""),"26111748")</f>
        <v>26111748</v>
      </c>
      <c r="E449" s="3" t="str">
        <f>IFERROR(__xludf.dummyfunction("""COMPUTED_VALUE"""),"INFANTIL 4")</f>
        <v>INFANTIL 4</v>
      </c>
      <c r="F449" s="3" t="str">
        <f>IFERROR(__xludf.dummyfunction("""COMPUTED_VALUE"""),"Matutino/Manhã")</f>
        <v>Matutino/Manhã</v>
      </c>
      <c r="G449" s="3" t="str">
        <f>IFERROR(__xludf.dummyfunction("""COMPUTED_VALUE"""),"Comum")</f>
        <v>Comum</v>
      </c>
      <c r="H449" s="3" t="str">
        <f>IFERROR(__xludf.dummyfunction("""COMPUTED_VALUE"""),"1")</f>
        <v>1</v>
      </c>
      <c r="I449" s="147" t="str">
        <f>IFERROR(__xludf.dummyfunction("""COMPUTED_VALUE"""),"26022858596")</f>
        <v>26022858596</v>
      </c>
      <c r="J449" s="3" t="str">
        <f>IFERROR(__xludf.dummyfunction("""COMPUTED_VALUE"""),"10/02/2026 17:14:09")</f>
        <v>10/02/2026 17:14:09</v>
      </c>
      <c r="K449" s="3" t="str">
        <f>IFERROR(__xludf.dummyfunction("""COMPUTED_VALUE"""),"JÚLIO CÉSAR DA SILVA ALVES")</f>
        <v>JÚLIO CÉSAR DA SILVA ALVES</v>
      </c>
      <c r="L449" s="146" t="str">
        <f>IFERROR(__xludf.dummyfunction("""COMPUTED_VALUE"""),"178.815.924-19")</f>
        <v>178.815.924-19</v>
      </c>
      <c r="M449" s="146" t="str">
        <f>IFERROR(__xludf.dummyfunction("""COMPUTED_VALUE"""),"20/10/2021")</f>
        <v>20/10/2021</v>
      </c>
      <c r="N449" s="3"/>
      <c r="O449" s="3" t="str">
        <f>IFERROR(__xludf.dummyfunction("""COMPUTED_VALUE"""),"0")</f>
        <v>0</v>
      </c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hidden="1" customHeight="1" spans="1:29">
      <c r="A450" s="3"/>
      <c r="B450" s="3"/>
      <c r="C450" s="4" t="str">
        <f>IFERROR(__xludf.dummyfunction("""COMPUTED_VALUE"""),"ESCOLA MUNICIPAL RURAL MARIA FEIJÓ")</f>
        <v>ESCOLA MUNICIPAL RURAL MARIA FEIJÓ</v>
      </c>
      <c r="D450" s="3" t="str">
        <f>IFERROR(__xludf.dummyfunction("""COMPUTED_VALUE"""),"26111748")</f>
        <v>26111748</v>
      </c>
      <c r="E450" s="3" t="str">
        <f>IFERROR(__xludf.dummyfunction("""COMPUTED_VALUE"""),"INFANTIL 4")</f>
        <v>INFANTIL 4</v>
      </c>
      <c r="F450" s="3" t="str">
        <f>IFERROR(__xludf.dummyfunction("""COMPUTED_VALUE"""),"Matutino/Manhã")</f>
        <v>Matutino/Manhã</v>
      </c>
      <c r="G450" s="3" t="str">
        <f>IFERROR(__xludf.dummyfunction("""COMPUTED_VALUE"""),"Comum")</f>
        <v>Comum</v>
      </c>
      <c r="H450" s="3" t="str">
        <f>IFERROR(__xludf.dummyfunction("""COMPUTED_VALUE"""),"2")</f>
        <v>2</v>
      </c>
      <c r="I450" s="145" t="str">
        <f>IFERROR(__xludf.dummyfunction("""COMPUTED_VALUE"""),"26022818267")</f>
        <v>26022818267</v>
      </c>
      <c r="J450" s="3" t="str">
        <f>IFERROR(__xludf.dummyfunction("""COMPUTED_VALUE"""),"10/02/2026 17:26:01")</f>
        <v>10/02/2026 17:26:01</v>
      </c>
      <c r="K450" s="3" t="str">
        <f>IFERROR(__xludf.dummyfunction("""COMPUTED_VALUE"""),"ELLOÁ MIRELLA FERNANDES DA SILVA")</f>
        <v>ELLOÁ MIRELLA FERNANDES DA SILVA</v>
      </c>
      <c r="L450" s="146" t="str">
        <f>IFERROR(__xludf.dummyfunction("""COMPUTED_VALUE"""),"180.688.584-07")</f>
        <v>180.688.584-07</v>
      </c>
      <c r="M450" s="146" t="str">
        <f>IFERROR(__xludf.dummyfunction("""COMPUTED_VALUE"""),"20/11/2021")</f>
        <v>20/11/2021</v>
      </c>
      <c r="N450" s="3"/>
      <c r="O450" s="3" t="str">
        <f>IFERROR(__xludf.dummyfunction("""COMPUTED_VALUE"""),"0")</f>
        <v>0</v>
      </c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hidden="1" customHeight="1" spans="1:29">
      <c r="A451" s="3"/>
      <c r="B451" s="3"/>
      <c r="C451" s="4" t="str">
        <f>IFERROR(__xludf.dummyfunction("""COMPUTED_VALUE"""),"ESCOLA MUNICIPAL RURAL MARIA FEIJÓ")</f>
        <v>ESCOLA MUNICIPAL RURAL MARIA FEIJÓ</v>
      </c>
      <c r="D451" s="3" t="str">
        <f>IFERROR(__xludf.dummyfunction("""COMPUTED_VALUE"""),"26111748")</f>
        <v>26111748</v>
      </c>
      <c r="E451" s="3" t="str">
        <f>IFERROR(__xludf.dummyfunction("""COMPUTED_VALUE"""),"INFANTIL 4")</f>
        <v>INFANTIL 4</v>
      </c>
      <c r="F451" s="3" t="str">
        <f>IFERROR(__xludf.dummyfunction("""COMPUTED_VALUE"""),"Matutino/Manhã")</f>
        <v>Matutino/Manhã</v>
      </c>
      <c r="G451" s="3" t="str">
        <f>IFERROR(__xludf.dummyfunction("""COMPUTED_VALUE"""),"Comum")</f>
        <v>Comum</v>
      </c>
      <c r="H451" s="3" t="str">
        <f>IFERROR(__xludf.dummyfunction("""COMPUTED_VALUE"""),"3")</f>
        <v>3</v>
      </c>
      <c r="I451" s="147" t="str">
        <f>IFERROR(__xludf.dummyfunction("""COMPUTED_VALUE"""),"26022498994")</f>
        <v>26022498994</v>
      </c>
      <c r="J451" s="3" t="str">
        <f>IFERROR(__xludf.dummyfunction("""COMPUTED_VALUE"""),"10/02/2026 17:33:28")</f>
        <v>10/02/2026 17:33:28</v>
      </c>
      <c r="K451" s="3" t="str">
        <f>IFERROR(__xludf.dummyfunction("""COMPUTED_VALUE"""),"MARIA LUIZA ALVES DE LIMA")</f>
        <v>MARIA LUIZA ALVES DE LIMA</v>
      </c>
      <c r="L451" s="146" t="str">
        <f>IFERROR(__xludf.dummyfunction("""COMPUTED_VALUE"""),"179.946.064-90")</f>
        <v>179.946.064-90</v>
      </c>
      <c r="M451" s="146" t="str">
        <f>IFERROR(__xludf.dummyfunction("""COMPUTED_VALUE"""),"04/01/2022")</f>
        <v>04/01/2022</v>
      </c>
      <c r="N451" s="3"/>
      <c r="O451" s="3" t="str">
        <f>IFERROR(__xludf.dummyfunction("""COMPUTED_VALUE"""),"0")</f>
        <v>0</v>
      </c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hidden="1" customHeight="1" spans="1:29">
      <c r="A452" s="3"/>
      <c r="B452" s="3"/>
      <c r="C452" s="4" t="str">
        <f>IFERROR(__xludf.dummyfunction("""COMPUTED_VALUE"""),"ESCOLA MUNICIPAL RURAL MARIA FEIJÓ")</f>
        <v>ESCOLA MUNICIPAL RURAL MARIA FEIJÓ</v>
      </c>
      <c r="D452" s="3" t="str">
        <f>IFERROR(__xludf.dummyfunction("""COMPUTED_VALUE"""),"26111748")</f>
        <v>26111748</v>
      </c>
      <c r="E452" s="3" t="str">
        <f>IFERROR(__xludf.dummyfunction("""COMPUTED_VALUE"""),"INFANTIL 4")</f>
        <v>INFANTIL 4</v>
      </c>
      <c r="F452" s="3" t="str">
        <f>IFERROR(__xludf.dummyfunction("""COMPUTED_VALUE"""),"Matutino/Manhã")</f>
        <v>Matutino/Manhã</v>
      </c>
      <c r="G452" s="3" t="str">
        <f>IFERROR(__xludf.dummyfunction("""COMPUTED_VALUE"""),"Comum")</f>
        <v>Comum</v>
      </c>
      <c r="H452" s="3" t="str">
        <f>IFERROR(__xludf.dummyfunction("""COMPUTED_VALUE"""),"4")</f>
        <v>4</v>
      </c>
      <c r="I452" s="147" t="str">
        <f>IFERROR(__xludf.dummyfunction("""COMPUTED_VALUE"""),"26032565660")</f>
        <v>26032565660</v>
      </c>
      <c r="J452" s="3" t="str">
        <f>IFERROR(__xludf.dummyfunction("""COMPUTED_VALUE"""),"02/03/2026 16:17:34")</f>
        <v>02/03/2026 16:17:34</v>
      </c>
      <c r="K452" s="3" t="str">
        <f>IFERROR(__xludf.dummyfunction("""COMPUTED_VALUE"""),"LUNNA MANUELA GOMES DA SILVA")</f>
        <v>LUNNA MANUELA GOMES DA SILVA</v>
      </c>
      <c r="L452" s="146" t="str">
        <f>IFERROR(__xludf.dummyfunction("""COMPUTED_VALUE"""),"176.420.374-73")</f>
        <v>176.420.374-73</v>
      </c>
      <c r="M452" s="146" t="str">
        <f>IFERROR(__xludf.dummyfunction("""COMPUTED_VALUE"""),"24/04/2021")</f>
        <v>24/04/2021</v>
      </c>
      <c r="N452" s="3"/>
      <c r="O452" s="3" t="str">
        <f>IFERROR(__xludf.dummyfunction("""COMPUTED_VALUE"""),"0")</f>
        <v>0</v>
      </c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hidden="1" customHeight="1" spans="1:29">
      <c r="A453" s="3"/>
      <c r="B453" s="3"/>
      <c r="C453" s="4" t="str">
        <f>IFERROR(__xludf.dummyfunction("""COMPUTED_VALUE"""),"ESCOLA MUNICIPAL SANTA EDWIRGES")</f>
        <v>ESCOLA MUNICIPAL SANTA EDWIRGES</v>
      </c>
      <c r="D453" s="3" t="str">
        <f>IFERROR(__xludf.dummyfunction("""COMPUTED_VALUE"""),"26178036")</f>
        <v>26178036</v>
      </c>
      <c r="E453" s="3" t="str">
        <f>IFERROR(__xludf.dummyfunction("""COMPUTED_VALUE"""),"INFANTIL 5")</f>
        <v>INFANTIL 5</v>
      </c>
      <c r="F453" s="3" t="str">
        <f>IFERROR(__xludf.dummyfunction("""COMPUTED_VALUE"""),"Vespertino/Tarde")</f>
        <v>Vespertino/Tarde</v>
      </c>
      <c r="G453" s="3" t="str">
        <f>IFERROR(__xludf.dummyfunction("""COMPUTED_VALUE"""),"Comum")</f>
        <v>Comum</v>
      </c>
      <c r="H453" s="3" t="str">
        <f>IFERROR(__xludf.dummyfunction("""COMPUTED_VALUE"""),"1")</f>
        <v>1</v>
      </c>
      <c r="I453" s="147" t="str">
        <f>IFERROR(__xludf.dummyfunction("""COMPUTED_VALUE"""),"26022435190")</f>
        <v>26022435190</v>
      </c>
      <c r="J453" s="3" t="str">
        <f>IFERROR(__xludf.dummyfunction("""COMPUTED_VALUE"""),"26/02/2026 11:14:58")</f>
        <v>26/02/2026 11:14:58</v>
      </c>
      <c r="K453" s="3" t="str">
        <f>IFERROR(__xludf.dummyfunction("""COMPUTED_VALUE"""),"MARIA LAURA MELQUIADES DA SILVA")</f>
        <v>MARIA LAURA MELQUIADES DA SILVA</v>
      </c>
      <c r="L453" s="146" t="str">
        <f>IFERROR(__xludf.dummyfunction("""COMPUTED_VALUE"""),"175.432.414-20")</f>
        <v>175.432.414-20</v>
      </c>
      <c r="M453" s="146" t="str">
        <f>IFERROR(__xludf.dummyfunction("""COMPUTED_VALUE"""),"28/12/2020")</f>
        <v>28/12/2020</v>
      </c>
      <c r="N453" s="3"/>
      <c r="O453" s="3" t="str">
        <f>IFERROR(__xludf.dummyfunction("""COMPUTED_VALUE"""),"0")</f>
        <v>0</v>
      </c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hidden="1" customHeight="1" spans="1:29">
      <c r="A454" s="3"/>
      <c r="B454" s="3"/>
      <c r="C454" s="4" t="str">
        <f>IFERROR(__xludf.dummyfunction("""COMPUTED_VALUE"""),"ESCOLA MUNICIPAL SANTA EDWIRGES")</f>
        <v>ESCOLA MUNICIPAL SANTA EDWIRGES</v>
      </c>
      <c r="D454" s="3" t="str">
        <f>IFERROR(__xludf.dummyfunction("""COMPUTED_VALUE"""),"26178036")</f>
        <v>26178036</v>
      </c>
      <c r="E454" s="3" t="str">
        <f>IFERROR(__xludf.dummyfunction("""COMPUTED_VALUE"""),"INFANTIL 5")</f>
        <v>INFANTIL 5</v>
      </c>
      <c r="F454" s="3" t="str">
        <f>IFERROR(__xludf.dummyfunction("""COMPUTED_VALUE"""),"Vespertino/Tarde")</f>
        <v>Vespertino/Tarde</v>
      </c>
      <c r="G454" s="3" t="str">
        <f>IFERROR(__xludf.dummyfunction("""COMPUTED_VALUE"""),"Comum")</f>
        <v>Comum</v>
      </c>
      <c r="H454" s="3" t="str">
        <f>IFERROR(__xludf.dummyfunction("""COMPUTED_VALUE"""),"2")</f>
        <v>2</v>
      </c>
      <c r="I454" s="147" t="str">
        <f>IFERROR(__xludf.dummyfunction("""COMPUTED_VALUE"""),"26062681349")</f>
        <v>26062681349</v>
      </c>
      <c r="J454" s="3" t="str">
        <f>IFERROR(__xludf.dummyfunction("""COMPUTED_VALUE"""),"11/06/2026 11:33:20")</f>
        <v>11/06/2026 11:33:20</v>
      </c>
      <c r="K454" s="3" t="str">
        <f>IFERROR(__xludf.dummyfunction("""COMPUTED_VALUE"""),"AYLLA VICTORIA DA SILVA MATIAS")</f>
        <v>AYLLA VICTORIA DA SILVA MATIAS</v>
      </c>
      <c r="L454" s="146" t="str">
        <f>IFERROR(__xludf.dummyfunction("""COMPUTED_VALUE"""),"173.884.764-07")</f>
        <v>173.884.764-07</v>
      </c>
      <c r="M454" s="146" t="str">
        <f>IFERROR(__xludf.dummyfunction("""COMPUTED_VALUE"""),"24/07/2020")</f>
        <v>24/07/2020</v>
      </c>
      <c r="N454" s="3"/>
      <c r="O454" s="3" t="str">
        <f>IFERROR(__xludf.dummyfunction("""COMPUTED_VALUE"""),"0")</f>
        <v>0</v>
      </c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hidden="1" customHeight="1" spans="1:29">
      <c r="A455" s="3"/>
      <c r="B455" s="3"/>
      <c r="C455" s="4" t="str">
        <f>IFERROR(__xludf.dummyfunction("""COMPUTED_VALUE"""),"ESCOLA MUNICIPAL SANTA EDWIRGES")</f>
        <v>ESCOLA MUNICIPAL SANTA EDWIRGES</v>
      </c>
      <c r="D455" s="3" t="str">
        <f>IFERROR(__xludf.dummyfunction("""COMPUTED_VALUE"""),"26178036")</f>
        <v>26178036</v>
      </c>
      <c r="E455" s="3" t="str">
        <f>IFERROR(__xludf.dummyfunction("""COMPUTED_VALUE"""),"INFANTIL 5")</f>
        <v>INFANTIL 5</v>
      </c>
      <c r="F455" s="3" t="str">
        <f>IFERROR(__xludf.dummyfunction("""COMPUTED_VALUE"""),"Vespertino/Tarde")</f>
        <v>Vespertino/Tarde</v>
      </c>
      <c r="G455" s="3" t="str">
        <f>IFERROR(__xludf.dummyfunction("""COMPUTED_VALUE"""),"Comum")</f>
        <v>Comum</v>
      </c>
      <c r="H455" s="3" t="str">
        <f>IFERROR(__xludf.dummyfunction("""COMPUTED_VALUE"""),"3")</f>
        <v>3</v>
      </c>
      <c r="I455" s="147" t="str">
        <f>IFERROR(__xludf.dummyfunction("""COMPUTED_VALUE"""),"26082703230")</f>
        <v>26082703230</v>
      </c>
      <c r="J455" s="3" t="str">
        <f>IFERROR(__xludf.dummyfunction("""COMPUTED_VALUE"""),"12/08/2026 18:59:00")</f>
        <v>12/08/2026 18:59:00</v>
      </c>
      <c r="K455" s="3" t="str">
        <f>IFERROR(__xludf.dummyfunction("""COMPUTED_VALUE"""),"Kailane marta")</f>
        <v>Kailane marta</v>
      </c>
      <c r="L455" s="146" t="str">
        <f>IFERROR(__xludf.dummyfunction("""COMPUTED_VALUE"""),"170.353.024-17")</f>
        <v>170.353.024-17</v>
      </c>
      <c r="M455" s="146" t="str">
        <f>IFERROR(__xludf.dummyfunction("""COMPUTED_VALUE"""),"01/06/2020")</f>
        <v>01/06/2020</v>
      </c>
      <c r="N455" s="3"/>
      <c r="O455" s="3" t="str">
        <f>IFERROR(__xludf.dummyfunction("""COMPUTED_VALUE"""),"0")</f>
        <v>0</v>
      </c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hidden="1" customHeight="1" spans="1:29">
      <c r="A456" s="3"/>
      <c r="B456" s="3"/>
      <c r="C456" s="4" t="str">
        <f>IFERROR(__xludf.dummyfunction("""COMPUTED_VALUE"""),"ESCOLA MUNICIPAL UBALDINO FIGUEIROA")</f>
        <v>ESCOLA MUNICIPAL UBALDINO FIGUEIROA</v>
      </c>
      <c r="D456" s="3" t="str">
        <f>IFERROR(__xludf.dummyfunction("""COMPUTED_VALUE"""),"26174740")</f>
        <v>26174740</v>
      </c>
      <c r="E456" s="3" t="str">
        <f>IFERROR(__xludf.dummyfunction("""COMPUTED_VALUE"""),"INFANTIL 5")</f>
        <v>INFANTIL 5</v>
      </c>
      <c r="F456" s="3" t="str">
        <f>IFERROR(__xludf.dummyfunction("""COMPUTED_VALUE"""),"Matutino/Manhã")</f>
        <v>Matutino/Manhã</v>
      </c>
      <c r="G456" s="3" t="str">
        <f>IFERROR(__xludf.dummyfunction("""COMPUTED_VALUE"""),"Comum")</f>
        <v>Comum</v>
      </c>
      <c r="H456" s="3" t="str">
        <f>IFERROR(__xludf.dummyfunction("""COMPUTED_VALUE"""),"1")</f>
        <v>1</v>
      </c>
      <c r="I456" s="147" t="str">
        <f>IFERROR(__xludf.dummyfunction("""COMPUTED_VALUE"""),"26072303727")</f>
        <v>26072303727</v>
      </c>
      <c r="J456" s="3" t="str">
        <f>IFERROR(__xludf.dummyfunction("""COMPUTED_VALUE"""),"23/07/2026 11:36:31")</f>
        <v>23/07/2026 11:36:31</v>
      </c>
      <c r="K456" s="3" t="str">
        <f>IFERROR(__xludf.dummyfunction("""COMPUTED_VALUE"""),"SAMUEL VALERIO DINIZ DE PAULA")</f>
        <v>SAMUEL VALERIO DINIZ DE PAULA</v>
      </c>
      <c r="L456" s="146" t="str">
        <f>IFERROR(__xludf.dummyfunction("""COMPUTED_VALUE"""),"174.803.824-99")</f>
        <v>174.803.824-99</v>
      </c>
      <c r="M456" s="146" t="str">
        <f>IFERROR(__xludf.dummyfunction("""COMPUTED_VALUE"""),"29/10/2020")</f>
        <v>29/10/2020</v>
      </c>
      <c r="N456" s="3"/>
      <c r="O456" s="3" t="str">
        <f>IFERROR(__xludf.dummyfunction("""COMPUTED_VALUE"""),"0")</f>
        <v>0</v>
      </c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hidden="1" customHeight="1" spans="1:29">
      <c r="A457" s="3"/>
      <c r="B457" s="3"/>
      <c r="C457" s="4" t="str">
        <f>IFERROR(__xludf.dummyfunction("""COMPUTED_VALUE"""),"ESCOLA MUNICIPAL WALFRIDO COELHO")</f>
        <v>ESCOLA MUNICIPAL WALFRIDO COELHO</v>
      </c>
      <c r="D457" s="3" t="str">
        <f>IFERROR(__xludf.dummyfunction("""COMPUTED_VALUE"""),"26171546")</f>
        <v>26171546</v>
      </c>
      <c r="E457" s="3" t="str">
        <f>IFERROR(__xludf.dummyfunction("""COMPUTED_VALUE"""),"INFANTIL 5")</f>
        <v>INFANTIL 5</v>
      </c>
      <c r="F457" s="3" t="str">
        <f>IFERROR(__xludf.dummyfunction("""COMPUTED_VALUE"""),"Matutino/Manhã")</f>
        <v>Matutino/Manhã</v>
      </c>
      <c r="G457" s="3" t="str">
        <f>IFERROR(__xludf.dummyfunction("""COMPUTED_VALUE"""),"Comum")</f>
        <v>Comum</v>
      </c>
      <c r="H457" s="3" t="str">
        <f>IFERROR(__xludf.dummyfunction("""COMPUTED_VALUE"""),"1")</f>
        <v>1</v>
      </c>
      <c r="I457" s="145" t="str">
        <f>IFERROR(__xludf.dummyfunction("""COMPUTED_VALUE"""),"26032356222")</f>
        <v>26032356222</v>
      </c>
      <c r="J457" s="3" t="str">
        <f>IFERROR(__xludf.dummyfunction("""COMPUTED_VALUE"""),"04/03/2026 10:45:26")</f>
        <v>04/03/2026 10:45:26</v>
      </c>
      <c r="K457" s="3" t="str">
        <f>IFERROR(__xludf.dummyfunction("""COMPUTED_VALUE"""),"LUNA NATALIA SOUZA MORAIS")</f>
        <v>LUNA NATALIA SOUZA MORAIS</v>
      </c>
      <c r="L457" s="146" t="str">
        <f>IFERROR(__xludf.dummyfunction("""COMPUTED_VALUE"""),"174.242.474-09")</f>
        <v>174.242.474-09</v>
      </c>
      <c r="M457" s="146" t="str">
        <f>IFERROR(__xludf.dummyfunction("""COMPUTED_VALUE"""),"18/11/2020")</f>
        <v>18/11/2020</v>
      </c>
      <c r="N457" s="3"/>
      <c r="O457" s="3" t="str">
        <f>IFERROR(__xludf.dummyfunction("""COMPUTED_VALUE"""),"0")</f>
        <v>0</v>
      </c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hidden="1" customHeight="1" spans="1:29">
      <c r="A458" s="3"/>
      <c r="B458" s="3"/>
      <c r="C458" s="4"/>
      <c r="D458" s="3"/>
      <c r="E458" s="3"/>
      <c r="F458" s="3"/>
      <c r="G458" s="3"/>
      <c r="H458" s="3"/>
      <c r="I458" s="145"/>
      <c r="J458" s="3"/>
      <c r="K458" s="3"/>
      <c r="L458" s="146"/>
      <c r="M458" s="146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hidden="1" customHeight="1" spans="1:29">
      <c r="A459" s="3"/>
      <c r="B459" s="3"/>
      <c r="C459" s="4"/>
      <c r="D459" s="3"/>
      <c r="E459" s="3"/>
      <c r="F459" s="3"/>
      <c r="G459" s="3"/>
      <c r="H459" s="3"/>
      <c r="I459" s="145"/>
      <c r="J459" s="3"/>
      <c r="K459" s="3"/>
      <c r="L459" s="146"/>
      <c r="M459" s="146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hidden="1" customHeight="1" spans="1:29">
      <c r="A460" s="3"/>
      <c r="B460" s="3"/>
      <c r="C460" s="4"/>
      <c r="D460" s="3"/>
      <c r="E460" s="3"/>
      <c r="F460" s="3"/>
      <c r="G460" s="3"/>
      <c r="H460" s="3"/>
      <c r="I460" s="145"/>
      <c r="J460" s="3"/>
      <c r="K460" s="3"/>
      <c r="L460" s="146"/>
      <c r="M460" s="146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hidden="1" customHeight="1" spans="1:29">
      <c r="A461" s="3"/>
      <c r="B461" s="3"/>
      <c r="C461" s="4"/>
      <c r="D461" s="3"/>
      <c r="E461" s="3"/>
      <c r="F461" s="3"/>
      <c r="G461" s="3"/>
      <c r="H461" s="3"/>
      <c r="I461" s="145"/>
      <c r="J461" s="3"/>
      <c r="K461" s="3"/>
      <c r="L461" s="146"/>
      <c r="M461" s="146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hidden="1" customHeight="1" spans="1:29">
      <c r="A462" s="3"/>
      <c r="B462" s="3"/>
      <c r="C462" s="4"/>
      <c r="D462" s="3"/>
      <c r="E462" s="3"/>
      <c r="F462" s="3"/>
      <c r="G462" s="3"/>
      <c r="H462" s="3"/>
      <c r="I462" s="145"/>
      <c r="J462" s="3"/>
      <c r="K462" s="3"/>
      <c r="L462" s="146"/>
      <c r="M462" s="146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hidden="1" customHeight="1" spans="1:29">
      <c r="A463" s="3"/>
      <c r="B463" s="3"/>
      <c r="C463" s="4"/>
      <c r="D463" s="3"/>
      <c r="E463" s="3"/>
      <c r="F463" s="3"/>
      <c r="G463" s="3"/>
      <c r="H463" s="3"/>
      <c r="I463" s="145"/>
      <c r="J463" s="3"/>
      <c r="K463" s="3"/>
      <c r="L463" s="146"/>
      <c r="M463" s="146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hidden="1" customHeight="1" spans="1:29">
      <c r="A464" s="3"/>
      <c r="B464" s="3"/>
      <c r="C464" s="4"/>
      <c r="D464" s="3"/>
      <c r="E464" s="3"/>
      <c r="F464" s="3"/>
      <c r="G464" s="3"/>
      <c r="H464" s="3"/>
      <c r="I464" s="147"/>
      <c r="J464" s="3"/>
      <c r="K464" s="3"/>
      <c r="L464" s="146"/>
      <c r="M464" s="146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hidden="1" customHeight="1" spans="1:29">
      <c r="A465" s="3"/>
      <c r="B465" s="3"/>
      <c r="C465" s="4"/>
      <c r="D465" s="3"/>
      <c r="E465" s="3"/>
      <c r="F465" s="3"/>
      <c r="G465" s="3"/>
      <c r="H465" s="3"/>
      <c r="I465" s="147"/>
      <c r="J465" s="3"/>
      <c r="K465" s="3"/>
      <c r="L465" s="146"/>
      <c r="M465" s="146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hidden="1" customHeight="1" spans="1:29">
      <c r="A466" s="3"/>
      <c r="B466" s="3"/>
      <c r="C466" s="4"/>
      <c r="D466" s="3"/>
      <c r="E466" s="3"/>
      <c r="F466" s="3"/>
      <c r="G466" s="3"/>
      <c r="H466" s="3"/>
      <c r="I466" s="147"/>
      <c r="J466" s="3"/>
      <c r="K466" s="3"/>
      <c r="L466" s="146"/>
      <c r="M466" s="146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hidden="1" customHeight="1" spans="1:29">
      <c r="A467" s="3"/>
      <c r="B467" s="3"/>
      <c r="C467" s="4"/>
      <c r="D467" s="3"/>
      <c r="E467" s="3"/>
      <c r="F467" s="3"/>
      <c r="G467" s="3"/>
      <c r="H467" s="3"/>
      <c r="I467" s="147"/>
      <c r="J467" s="3"/>
      <c r="K467" s="3"/>
      <c r="L467" s="146"/>
      <c r="M467" s="146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hidden="1" customHeight="1" spans="1:29">
      <c r="A468" s="3"/>
      <c r="B468" s="3"/>
      <c r="C468" s="4"/>
      <c r="D468" s="3"/>
      <c r="E468" s="3"/>
      <c r="F468" s="3"/>
      <c r="G468" s="3"/>
      <c r="H468" s="3"/>
      <c r="I468" s="147"/>
      <c r="J468" s="3"/>
      <c r="K468" s="3"/>
      <c r="L468" s="146"/>
      <c r="M468" s="146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hidden="1" customHeight="1" spans="1:29">
      <c r="A469" s="3"/>
      <c r="B469" s="3"/>
      <c r="C469" s="4"/>
      <c r="D469" s="3"/>
      <c r="E469" s="3"/>
      <c r="F469" s="3"/>
      <c r="G469" s="3"/>
      <c r="H469" s="3"/>
      <c r="I469" s="147"/>
      <c r="J469" s="3"/>
      <c r="K469" s="3"/>
      <c r="L469" s="146"/>
      <c r="M469" s="146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hidden="1" customHeight="1" spans="1:29">
      <c r="A470" s="3"/>
      <c r="B470" s="3"/>
      <c r="C470" s="4"/>
      <c r="D470" s="3"/>
      <c r="E470" s="3"/>
      <c r="F470" s="3"/>
      <c r="G470" s="3"/>
      <c r="H470" s="3"/>
      <c r="I470" s="147"/>
      <c r="J470" s="3"/>
      <c r="K470" s="3"/>
      <c r="L470" s="146"/>
      <c r="M470" s="146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hidden="1" customHeight="1" spans="1:29">
      <c r="A471" s="3"/>
      <c r="B471" s="3"/>
      <c r="C471" s="4"/>
      <c r="D471" s="3"/>
      <c r="E471" s="3"/>
      <c r="F471" s="3"/>
      <c r="G471" s="3"/>
      <c r="H471" s="3"/>
      <c r="I471" s="147"/>
      <c r="J471" s="3"/>
      <c r="K471" s="3"/>
      <c r="L471" s="146"/>
      <c r="M471" s="146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hidden="1" customHeight="1" spans="1:29">
      <c r="A472" s="3"/>
      <c r="B472" s="3"/>
      <c r="C472" s="4"/>
      <c r="D472" s="3"/>
      <c r="E472" s="3"/>
      <c r="F472" s="3"/>
      <c r="G472" s="3"/>
      <c r="H472" s="3"/>
      <c r="I472" s="147"/>
      <c r="J472" s="3"/>
      <c r="K472" s="3"/>
      <c r="L472" s="146"/>
      <c r="M472" s="146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hidden="1" customHeight="1" spans="1:29">
      <c r="A473" s="3"/>
      <c r="B473" s="3"/>
      <c r="C473" s="4"/>
      <c r="D473" s="3"/>
      <c r="E473" s="3"/>
      <c r="F473" s="3"/>
      <c r="G473" s="3"/>
      <c r="H473" s="3"/>
      <c r="I473" s="147"/>
      <c r="J473" s="3"/>
      <c r="K473" s="3"/>
      <c r="L473" s="146"/>
      <c r="M473" s="146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hidden="1" customHeight="1" spans="1:29">
      <c r="A474" s="3"/>
      <c r="B474" s="3"/>
      <c r="C474" s="4"/>
      <c r="D474" s="3"/>
      <c r="E474" s="3"/>
      <c r="F474" s="3"/>
      <c r="G474" s="3"/>
      <c r="H474" s="3"/>
      <c r="I474" s="147"/>
      <c r="J474" s="3"/>
      <c r="K474" s="3"/>
      <c r="L474" s="146"/>
      <c r="M474" s="146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hidden="1" customHeight="1" spans="1:29">
      <c r="A475" s="3"/>
      <c r="B475" s="3"/>
      <c r="C475" s="4"/>
      <c r="D475" s="3"/>
      <c r="E475" s="3"/>
      <c r="F475" s="3"/>
      <c r="G475" s="3"/>
      <c r="H475" s="3"/>
      <c r="I475" s="147"/>
      <c r="J475" s="3"/>
      <c r="K475" s="3"/>
      <c r="L475" s="146"/>
      <c r="M475" s="146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hidden="1" customHeight="1" spans="1:29">
      <c r="A476" s="3"/>
      <c r="B476" s="3"/>
      <c r="C476" s="4"/>
      <c r="D476" s="3"/>
      <c r="E476" s="3"/>
      <c r="F476" s="3"/>
      <c r="G476" s="3"/>
      <c r="H476" s="3"/>
      <c r="I476" s="147"/>
      <c r="J476" s="3"/>
      <c r="K476" s="3"/>
      <c r="L476" s="146"/>
      <c r="M476" s="146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hidden="1" customHeight="1" spans="1:29">
      <c r="A477" s="3"/>
      <c r="B477" s="3"/>
      <c r="C477" s="4"/>
      <c r="D477" s="3"/>
      <c r="E477" s="3"/>
      <c r="F477" s="3"/>
      <c r="G477" s="3"/>
      <c r="H477" s="3"/>
      <c r="I477" s="147"/>
      <c r="J477" s="3"/>
      <c r="K477" s="3"/>
      <c r="L477" s="146"/>
      <c r="M477" s="146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hidden="1" customHeight="1" spans="1:29">
      <c r="A478" s="3"/>
      <c r="B478" s="3"/>
      <c r="C478" s="4"/>
      <c r="D478" s="3"/>
      <c r="E478" s="3"/>
      <c r="F478" s="3"/>
      <c r="G478" s="3"/>
      <c r="H478" s="3"/>
      <c r="I478" s="145"/>
      <c r="J478" s="3"/>
      <c r="K478" s="3"/>
      <c r="L478" s="146"/>
      <c r="M478" s="146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hidden="1" customHeight="1" spans="1:29">
      <c r="A479" s="3"/>
      <c r="B479" s="3"/>
      <c r="C479" s="4"/>
      <c r="D479" s="3"/>
      <c r="E479" s="3"/>
      <c r="F479" s="3"/>
      <c r="G479" s="3"/>
      <c r="H479" s="3"/>
      <c r="I479" s="145"/>
      <c r="J479" s="3"/>
      <c r="K479" s="3"/>
      <c r="L479" s="146"/>
      <c r="M479" s="146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hidden="1" customHeight="1" spans="1:29">
      <c r="A480" s="3"/>
      <c r="B480" s="3"/>
      <c r="C480" s="4"/>
      <c r="D480" s="3"/>
      <c r="E480" s="3"/>
      <c r="F480" s="3"/>
      <c r="G480" s="3"/>
      <c r="H480" s="3"/>
      <c r="I480" s="145"/>
      <c r="J480" s="3"/>
      <c r="K480" s="3"/>
      <c r="L480" s="146"/>
      <c r="M480" s="146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hidden="1" customHeight="1" spans="1:29">
      <c r="A481" s="3"/>
      <c r="B481" s="3"/>
      <c r="C481" s="4"/>
      <c r="D481" s="3"/>
      <c r="E481" s="3"/>
      <c r="F481" s="3"/>
      <c r="G481" s="3"/>
      <c r="H481" s="3"/>
      <c r="I481" s="145"/>
      <c r="J481" s="3"/>
      <c r="K481" s="3"/>
      <c r="L481" s="146"/>
      <c r="M481" s="146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hidden="1" customHeight="1" spans="1:29">
      <c r="A482" s="3"/>
      <c r="B482" s="3"/>
      <c r="C482" s="4"/>
      <c r="D482" s="3"/>
      <c r="E482" s="3"/>
      <c r="F482" s="3"/>
      <c r="G482" s="3"/>
      <c r="H482" s="3"/>
      <c r="I482" s="145"/>
      <c r="J482" s="3"/>
      <c r="K482" s="3"/>
      <c r="L482" s="146"/>
      <c r="M482" s="146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hidden="1" customHeight="1" spans="1:29">
      <c r="A483" s="3"/>
      <c r="B483" s="3"/>
      <c r="C483" s="4"/>
      <c r="D483" s="3"/>
      <c r="E483" s="3"/>
      <c r="F483" s="3"/>
      <c r="G483" s="3"/>
      <c r="H483" s="3"/>
      <c r="I483" s="145"/>
      <c r="J483" s="3"/>
      <c r="K483" s="3"/>
      <c r="L483" s="146"/>
      <c r="M483" s="146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hidden="1" customHeight="1" spans="1:29">
      <c r="A484" s="3"/>
      <c r="B484" s="3"/>
      <c r="C484" s="4"/>
      <c r="D484" s="3"/>
      <c r="E484" s="3"/>
      <c r="F484" s="3"/>
      <c r="G484" s="3"/>
      <c r="H484" s="3"/>
      <c r="I484" s="145"/>
      <c r="J484" s="3"/>
      <c r="K484" s="3"/>
      <c r="L484" s="146"/>
      <c r="M484" s="146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hidden="1" customHeight="1" spans="1:29">
      <c r="A485" s="3"/>
      <c r="B485" s="3"/>
      <c r="C485" s="4"/>
      <c r="D485" s="3"/>
      <c r="E485" s="3"/>
      <c r="F485" s="3"/>
      <c r="G485" s="3"/>
      <c r="H485" s="3"/>
      <c r="I485" s="145"/>
      <c r="J485" s="3"/>
      <c r="K485" s="3"/>
      <c r="L485" s="146"/>
      <c r="M485" s="146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hidden="1" customHeight="1" spans="1:29">
      <c r="A486" s="3"/>
      <c r="B486" s="3"/>
      <c r="C486" s="4"/>
      <c r="D486" s="3"/>
      <c r="E486" s="3"/>
      <c r="F486" s="3"/>
      <c r="G486" s="3"/>
      <c r="H486" s="3"/>
      <c r="I486" s="145"/>
      <c r="J486" s="3"/>
      <c r="K486" s="3"/>
      <c r="L486" s="146"/>
      <c r="M486" s="146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hidden="1" customHeight="1" spans="1:29">
      <c r="A487" s="3"/>
      <c r="B487" s="3"/>
      <c r="C487" s="4"/>
      <c r="D487" s="3"/>
      <c r="E487" s="3"/>
      <c r="F487" s="3"/>
      <c r="G487" s="3"/>
      <c r="H487" s="3"/>
      <c r="I487" s="145"/>
      <c r="J487" s="3"/>
      <c r="K487" s="3"/>
      <c r="L487" s="146"/>
      <c r="M487" s="146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hidden="1" customHeight="1" spans="1:29">
      <c r="A488" s="3"/>
      <c r="B488" s="3"/>
      <c r="C488" s="4"/>
      <c r="D488" s="3"/>
      <c r="E488" s="3"/>
      <c r="F488" s="3"/>
      <c r="G488" s="3"/>
      <c r="H488" s="3"/>
      <c r="I488" s="145"/>
      <c r="J488" s="3"/>
      <c r="K488" s="3"/>
      <c r="L488" s="146"/>
      <c r="M488" s="146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hidden="1" customHeight="1" spans="1:29">
      <c r="A489" s="3"/>
      <c r="B489" s="3"/>
      <c r="C489" s="4"/>
      <c r="D489" s="3"/>
      <c r="E489" s="3"/>
      <c r="F489" s="3"/>
      <c r="G489" s="3"/>
      <c r="H489" s="3"/>
      <c r="I489" s="145"/>
      <c r="J489" s="3"/>
      <c r="K489" s="3"/>
      <c r="L489" s="146"/>
      <c r="M489" s="146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hidden="1" customHeight="1" spans="1:29">
      <c r="A490" s="3"/>
      <c r="B490" s="3"/>
      <c r="C490" s="4"/>
      <c r="D490" s="3"/>
      <c r="E490" s="3"/>
      <c r="F490" s="3"/>
      <c r="G490" s="3"/>
      <c r="H490" s="3"/>
      <c r="I490" s="145"/>
      <c r="J490" s="3"/>
      <c r="K490" s="3"/>
      <c r="L490" s="146"/>
      <c r="M490" s="146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hidden="1" customHeight="1" spans="1:29">
      <c r="A491" s="3"/>
      <c r="B491" s="3"/>
      <c r="C491" s="4"/>
      <c r="D491" s="3"/>
      <c r="E491" s="3"/>
      <c r="F491" s="3"/>
      <c r="G491" s="3"/>
      <c r="H491" s="3"/>
      <c r="I491" s="145"/>
      <c r="J491" s="3"/>
      <c r="K491" s="3"/>
      <c r="L491" s="146"/>
      <c r="M491" s="146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hidden="1" customHeight="1" spans="1:29">
      <c r="A492" s="3"/>
      <c r="B492" s="3"/>
      <c r="C492" s="4"/>
      <c r="D492" s="3"/>
      <c r="E492" s="3"/>
      <c r="F492" s="3"/>
      <c r="G492" s="3"/>
      <c r="H492" s="3"/>
      <c r="I492" s="145"/>
      <c r="J492" s="3"/>
      <c r="K492" s="3"/>
      <c r="L492" s="146"/>
      <c r="M492" s="146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hidden="1" customHeight="1" spans="1:29">
      <c r="A493" s="3"/>
      <c r="B493" s="3"/>
      <c r="C493" s="4"/>
      <c r="D493" s="3"/>
      <c r="E493" s="3"/>
      <c r="F493" s="3"/>
      <c r="G493" s="3"/>
      <c r="H493" s="3"/>
      <c r="I493" s="145"/>
      <c r="J493" s="3"/>
      <c r="K493" s="3"/>
      <c r="L493" s="146"/>
      <c r="M493" s="146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hidden="1" customHeight="1" spans="1:29">
      <c r="A494" s="3"/>
      <c r="B494" s="3"/>
      <c r="C494" s="4"/>
      <c r="D494" s="3"/>
      <c r="E494" s="3"/>
      <c r="F494" s="3"/>
      <c r="G494" s="3"/>
      <c r="H494" s="3"/>
      <c r="I494" s="145"/>
      <c r="J494" s="3"/>
      <c r="K494" s="3"/>
      <c r="L494" s="146"/>
      <c r="M494" s="146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hidden="1" customHeight="1" spans="1:29">
      <c r="A495" s="3"/>
      <c r="B495" s="3"/>
      <c r="C495" s="4"/>
      <c r="D495" s="3"/>
      <c r="E495" s="3"/>
      <c r="F495" s="3"/>
      <c r="G495" s="3"/>
      <c r="H495" s="3"/>
      <c r="I495" s="147"/>
      <c r="J495" s="3"/>
      <c r="K495" s="3"/>
      <c r="L495" s="146"/>
      <c r="M495" s="146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hidden="1" customHeight="1" spans="1:29">
      <c r="A496" s="3"/>
      <c r="B496" s="3"/>
      <c r="C496" s="4"/>
      <c r="D496" s="3"/>
      <c r="E496" s="3"/>
      <c r="F496" s="3"/>
      <c r="G496" s="3"/>
      <c r="H496" s="3"/>
      <c r="I496" s="147"/>
      <c r="J496" s="3"/>
      <c r="K496" s="3"/>
      <c r="L496" s="146"/>
      <c r="M496" s="146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hidden="1" customHeight="1" spans="1:29">
      <c r="A497" s="3"/>
      <c r="B497" s="3"/>
      <c r="C497" s="4"/>
      <c r="D497" s="3"/>
      <c r="E497" s="3"/>
      <c r="F497" s="3"/>
      <c r="G497" s="3"/>
      <c r="H497" s="3"/>
      <c r="I497" s="147"/>
      <c r="J497" s="3"/>
      <c r="K497" s="3"/>
      <c r="L497" s="146"/>
      <c r="M497" s="146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hidden="1" customHeight="1" spans="1:29">
      <c r="A498" s="3"/>
      <c r="B498" s="3"/>
      <c r="C498" s="4"/>
      <c r="D498" s="3"/>
      <c r="E498" s="3"/>
      <c r="F498" s="3"/>
      <c r="G498" s="3"/>
      <c r="H498" s="3"/>
      <c r="I498" s="147"/>
      <c r="J498" s="3"/>
      <c r="K498" s="3"/>
      <c r="L498" s="146"/>
      <c r="M498" s="146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hidden="1" customHeight="1" spans="1:29">
      <c r="A499" s="3"/>
      <c r="B499" s="3"/>
      <c r="C499" s="4"/>
      <c r="D499" s="3"/>
      <c r="E499" s="3"/>
      <c r="F499" s="3"/>
      <c r="G499" s="3"/>
      <c r="H499" s="3"/>
      <c r="I499" s="147"/>
      <c r="J499" s="3"/>
      <c r="K499" s="3"/>
      <c r="L499" s="146"/>
      <c r="M499" s="146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hidden="1" customHeight="1" spans="1:29">
      <c r="A500" s="3"/>
      <c r="B500" s="3"/>
      <c r="C500" s="4"/>
      <c r="D500" s="3"/>
      <c r="E500" s="3"/>
      <c r="F500" s="3"/>
      <c r="G500" s="3"/>
      <c r="H500" s="3"/>
      <c r="I500" s="147"/>
      <c r="J500" s="3"/>
      <c r="K500" s="3"/>
      <c r="L500" s="146"/>
      <c r="M500" s="146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hidden="1" customHeight="1" spans="1:29">
      <c r="A501" s="3"/>
      <c r="B501" s="3"/>
      <c r="C501" s="4"/>
      <c r="D501" s="3"/>
      <c r="E501" s="3"/>
      <c r="F501" s="3"/>
      <c r="G501" s="3"/>
      <c r="H501" s="3"/>
      <c r="I501" s="147"/>
      <c r="J501" s="3"/>
      <c r="K501" s="3"/>
      <c r="L501" s="146"/>
      <c r="M501" s="146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hidden="1" customHeight="1" spans="1:29">
      <c r="A502" s="3"/>
      <c r="B502" s="3"/>
      <c r="C502" s="4"/>
      <c r="D502" s="3"/>
      <c r="E502" s="3"/>
      <c r="F502" s="3"/>
      <c r="G502" s="3"/>
      <c r="H502" s="3"/>
      <c r="I502" s="147"/>
      <c r="J502" s="3"/>
      <c r="K502" s="3"/>
      <c r="L502" s="146"/>
      <c r="M502" s="146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hidden="1" customHeight="1" spans="1:29">
      <c r="A503" s="3"/>
      <c r="B503" s="3"/>
      <c r="C503" s="4"/>
      <c r="D503" s="3"/>
      <c r="E503" s="3"/>
      <c r="F503" s="3"/>
      <c r="G503" s="3"/>
      <c r="H503" s="3"/>
      <c r="I503" s="145"/>
      <c r="J503" s="3"/>
      <c r="K503" s="3"/>
      <c r="L503" s="146"/>
      <c r="M503" s="146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hidden="1" customHeight="1" spans="1:29">
      <c r="A504" s="3"/>
      <c r="B504" s="3"/>
      <c r="C504" s="4"/>
      <c r="D504" s="3"/>
      <c r="E504" s="3"/>
      <c r="F504" s="3"/>
      <c r="G504" s="3"/>
      <c r="H504" s="3"/>
      <c r="I504" s="145"/>
      <c r="J504" s="3"/>
      <c r="K504" s="3"/>
      <c r="L504" s="146"/>
      <c r="M504" s="146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hidden="1" customHeight="1" spans="1:29">
      <c r="A505" s="3"/>
      <c r="B505" s="3"/>
      <c r="C505" s="4"/>
      <c r="D505" s="3"/>
      <c r="E505" s="3"/>
      <c r="F505" s="3"/>
      <c r="G505" s="3"/>
      <c r="H505" s="3"/>
      <c r="I505" s="145"/>
      <c r="J505" s="3"/>
      <c r="K505" s="3"/>
      <c r="L505" s="146"/>
      <c r="M505" s="146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hidden="1" customHeight="1" spans="1:29">
      <c r="A506" s="3"/>
      <c r="B506" s="3"/>
      <c r="C506" s="4"/>
      <c r="D506" s="3"/>
      <c r="E506" s="3"/>
      <c r="F506" s="3"/>
      <c r="G506" s="3"/>
      <c r="H506" s="3"/>
      <c r="I506" s="145"/>
      <c r="J506" s="3"/>
      <c r="K506" s="3"/>
      <c r="L506" s="146"/>
      <c r="M506" s="146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hidden="1" customHeight="1" spans="1:29">
      <c r="A507" s="3"/>
      <c r="B507" s="3"/>
      <c r="C507" s="4"/>
      <c r="D507" s="3"/>
      <c r="E507" s="3"/>
      <c r="F507" s="3"/>
      <c r="G507" s="3"/>
      <c r="H507" s="3"/>
      <c r="I507" s="145"/>
      <c r="J507" s="3"/>
      <c r="K507" s="3"/>
      <c r="L507" s="146"/>
      <c r="M507" s="146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hidden="1" customHeight="1" spans="1:29">
      <c r="A508" s="3"/>
      <c r="B508" s="3"/>
      <c r="C508" s="4"/>
      <c r="D508" s="3"/>
      <c r="E508" s="3"/>
      <c r="F508" s="3"/>
      <c r="G508" s="3"/>
      <c r="H508" s="3"/>
      <c r="I508" s="145"/>
      <c r="J508" s="3"/>
      <c r="K508" s="3"/>
      <c r="L508" s="146"/>
      <c r="M508" s="146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hidden="1" customHeight="1" spans="1:29">
      <c r="A509" s="3"/>
      <c r="B509" s="3"/>
      <c r="C509" s="4"/>
      <c r="D509" s="3"/>
      <c r="E509" s="3"/>
      <c r="F509" s="3"/>
      <c r="G509" s="3"/>
      <c r="H509" s="3"/>
      <c r="I509" s="145"/>
      <c r="J509" s="3"/>
      <c r="K509" s="3"/>
      <c r="L509" s="146"/>
      <c r="M509" s="146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hidden="1" customHeight="1" spans="1:29">
      <c r="A510" s="3"/>
      <c r="B510" s="3"/>
      <c r="C510" s="4"/>
      <c r="D510" s="3"/>
      <c r="E510" s="3"/>
      <c r="F510" s="3"/>
      <c r="G510" s="3"/>
      <c r="H510" s="3"/>
      <c r="I510" s="145"/>
      <c r="J510" s="3"/>
      <c r="K510" s="3"/>
      <c r="L510" s="146"/>
      <c r="M510" s="146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hidden="1" customHeight="1" spans="1:29">
      <c r="A511" s="3"/>
      <c r="B511" s="3"/>
      <c r="C511" s="4"/>
      <c r="D511" s="3"/>
      <c r="E511" s="3"/>
      <c r="F511" s="3"/>
      <c r="G511" s="3"/>
      <c r="H511" s="3"/>
      <c r="I511" s="147"/>
      <c r="J511" s="3"/>
      <c r="K511" s="3"/>
      <c r="L511" s="146"/>
      <c r="M511" s="146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hidden="1" customHeight="1" spans="1:29">
      <c r="A512" s="3"/>
      <c r="B512" s="3"/>
      <c r="C512" s="4"/>
      <c r="D512" s="3"/>
      <c r="E512" s="3"/>
      <c r="F512" s="3"/>
      <c r="G512" s="3"/>
      <c r="H512" s="3"/>
      <c r="I512" s="147"/>
      <c r="J512" s="3"/>
      <c r="K512" s="3"/>
      <c r="L512" s="146"/>
      <c r="M512" s="146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hidden="1" customHeight="1" spans="1:29">
      <c r="A513" s="3"/>
      <c r="B513" s="3"/>
      <c r="C513" s="4"/>
      <c r="D513" s="3"/>
      <c r="E513" s="3"/>
      <c r="F513" s="3"/>
      <c r="G513" s="3"/>
      <c r="H513" s="3"/>
      <c r="I513" s="147"/>
      <c r="J513" s="3"/>
      <c r="K513" s="3"/>
      <c r="L513" s="146"/>
      <c r="M513" s="146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hidden="1" customHeight="1" spans="1:29">
      <c r="A514" s="3"/>
      <c r="B514" s="3"/>
      <c r="C514" s="4"/>
      <c r="D514" s="3"/>
      <c r="E514" s="3"/>
      <c r="F514" s="3"/>
      <c r="G514" s="3"/>
      <c r="H514" s="3"/>
      <c r="I514" s="147"/>
      <c r="J514" s="3"/>
      <c r="K514" s="3"/>
      <c r="L514" s="146"/>
      <c r="M514" s="146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hidden="1" customHeight="1" spans="1:29">
      <c r="A515" s="3"/>
      <c r="B515" s="3"/>
      <c r="C515" s="4"/>
      <c r="D515" s="3"/>
      <c r="E515" s="3"/>
      <c r="F515" s="3"/>
      <c r="G515" s="3"/>
      <c r="H515" s="3"/>
      <c r="I515" s="147"/>
      <c r="J515" s="3"/>
      <c r="K515" s="3"/>
      <c r="L515" s="146"/>
      <c r="M515" s="146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hidden="1" customHeight="1" spans="1:29">
      <c r="A516" s="3"/>
      <c r="B516" s="3"/>
      <c r="C516" s="4"/>
      <c r="D516" s="3"/>
      <c r="E516" s="3"/>
      <c r="F516" s="3"/>
      <c r="G516" s="3"/>
      <c r="H516" s="3"/>
      <c r="I516" s="147"/>
      <c r="J516" s="3"/>
      <c r="K516" s="3"/>
      <c r="L516" s="146"/>
      <c r="M516" s="146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hidden="1" customHeight="1" spans="1:29">
      <c r="A517" s="3"/>
      <c r="B517" s="3"/>
      <c r="C517" s="4"/>
      <c r="D517" s="3"/>
      <c r="E517" s="3"/>
      <c r="F517" s="3"/>
      <c r="G517" s="3"/>
      <c r="H517" s="3"/>
      <c r="I517" s="147"/>
      <c r="J517" s="3"/>
      <c r="K517" s="3"/>
      <c r="L517" s="146"/>
      <c r="M517" s="146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hidden="1" customHeight="1" spans="1:29">
      <c r="A518" s="3"/>
      <c r="B518" s="3"/>
      <c r="C518" s="4"/>
      <c r="D518" s="3"/>
      <c r="E518" s="3"/>
      <c r="F518" s="3"/>
      <c r="G518" s="3"/>
      <c r="H518" s="3"/>
      <c r="I518" s="147"/>
      <c r="J518" s="3"/>
      <c r="K518" s="3"/>
      <c r="L518" s="146"/>
      <c r="M518" s="146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hidden="1" customHeight="1" spans="1:29">
      <c r="A519" s="3"/>
      <c r="B519" s="3"/>
      <c r="C519" s="4"/>
      <c r="D519" s="3"/>
      <c r="E519" s="3"/>
      <c r="F519" s="3"/>
      <c r="G519" s="3"/>
      <c r="H519" s="3"/>
      <c r="I519" s="145"/>
      <c r="J519" s="3"/>
      <c r="K519" s="3"/>
      <c r="L519" s="146"/>
      <c r="M519" s="146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hidden="1" customHeight="1" spans="1:29">
      <c r="A520" s="3"/>
      <c r="B520" s="3"/>
      <c r="C520" s="4"/>
      <c r="D520" s="3"/>
      <c r="E520" s="3"/>
      <c r="F520" s="3"/>
      <c r="G520" s="3"/>
      <c r="H520" s="3"/>
      <c r="I520" s="145"/>
      <c r="J520" s="3"/>
      <c r="K520" s="3"/>
      <c r="L520" s="146"/>
      <c r="M520" s="146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hidden="1" customHeight="1" spans="1:29">
      <c r="A521" s="3"/>
      <c r="B521" s="3"/>
      <c r="C521" s="4"/>
      <c r="D521" s="3"/>
      <c r="E521" s="3"/>
      <c r="F521" s="3"/>
      <c r="G521" s="3"/>
      <c r="H521" s="3"/>
      <c r="I521" s="145"/>
      <c r="J521" s="3"/>
      <c r="K521" s="3"/>
      <c r="L521" s="146"/>
      <c r="M521" s="146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hidden="1" customHeight="1" spans="1:29">
      <c r="A522" s="3"/>
      <c r="B522" s="3"/>
      <c r="C522" s="4"/>
      <c r="D522" s="3"/>
      <c r="E522" s="3"/>
      <c r="F522" s="3"/>
      <c r="G522" s="3"/>
      <c r="H522" s="3"/>
      <c r="I522" s="145"/>
      <c r="J522" s="3"/>
      <c r="K522" s="3"/>
      <c r="L522" s="146"/>
      <c r="M522" s="146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hidden="1" customHeight="1" spans="1:29">
      <c r="A523" s="3"/>
      <c r="B523" s="3"/>
      <c r="C523" s="4"/>
      <c r="D523" s="3"/>
      <c r="E523" s="3"/>
      <c r="F523" s="3"/>
      <c r="G523" s="3"/>
      <c r="H523" s="3"/>
      <c r="I523" s="145"/>
      <c r="J523" s="3"/>
      <c r="K523" s="3"/>
      <c r="L523" s="146"/>
      <c r="M523" s="146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hidden="1" customHeight="1" spans="1:29">
      <c r="A524" s="3"/>
      <c r="B524" s="3"/>
      <c r="C524" s="4"/>
      <c r="D524" s="3"/>
      <c r="E524" s="3"/>
      <c r="F524" s="3"/>
      <c r="G524" s="3"/>
      <c r="H524" s="3"/>
      <c r="I524" s="145"/>
      <c r="J524" s="3"/>
      <c r="K524" s="3"/>
      <c r="L524" s="146"/>
      <c r="M524" s="146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hidden="1" customHeight="1" spans="1:29">
      <c r="A525" s="3"/>
      <c r="B525" s="3"/>
      <c r="C525" s="4"/>
      <c r="D525" s="3"/>
      <c r="E525" s="3"/>
      <c r="F525" s="3"/>
      <c r="G525" s="3"/>
      <c r="H525" s="3"/>
      <c r="I525" s="145"/>
      <c r="J525" s="3"/>
      <c r="K525" s="3"/>
      <c r="L525" s="146"/>
      <c r="M525" s="146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hidden="1" customHeight="1" spans="1:29">
      <c r="A526" s="3"/>
      <c r="B526" s="3"/>
      <c r="C526" s="4"/>
      <c r="D526" s="3"/>
      <c r="E526" s="3"/>
      <c r="F526" s="3"/>
      <c r="G526" s="3"/>
      <c r="H526" s="3"/>
      <c r="I526" s="145"/>
      <c r="J526" s="3"/>
      <c r="K526" s="3"/>
      <c r="L526" s="146"/>
      <c r="M526" s="146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hidden="1" customHeight="1" spans="1:29">
      <c r="A527" s="3"/>
      <c r="B527" s="3"/>
      <c r="C527" s="4"/>
      <c r="D527" s="3"/>
      <c r="E527" s="3"/>
      <c r="F527" s="3"/>
      <c r="G527" s="3"/>
      <c r="H527" s="3"/>
      <c r="I527" s="145"/>
      <c r="J527" s="3"/>
      <c r="K527" s="3"/>
      <c r="L527" s="146"/>
      <c r="M527" s="146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hidden="1" customHeight="1" spans="1:29">
      <c r="A528" s="3"/>
      <c r="B528" s="3"/>
      <c r="C528" s="4"/>
      <c r="D528" s="3"/>
      <c r="E528" s="3"/>
      <c r="F528" s="3"/>
      <c r="G528" s="3"/>
      <c r="H528" s="3"/>
      <c r="I528" s="145"/>
      <c r="J528" s="3"/>
      <c r="K528" s="3"/>
      <c r="L528" s="146"/>
      <c r="M528" s="146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hidden="1" customHeight="1" spans="1:29">
      <c r="A529" s="3"/>
      <c r="B529" s="3"/>
      <c r="C529" s="4"/>
      <c r="D529" s="3"/>
      <c r="E529" s="3"/>
      <c r="F529" s="3"/>
      <c r="G529" s="3"/>
      <c r="H529" s="3"/>
      <c r="I529" s="145"/>
      <c r="J529" s="3"/>
      <c r="K529" s="3"/>
      <c r="L529" s="146"/>
      <c r="M529" s="146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hidden="1" customHeight="1" spans="1:29">
      <c r="A530" s="3"/>
      <c r="B530" s="3"/>
      <c r="C530" s="4"/>
      <c r="D530" s="3"/>
      <c r="E530" s="3"/>
      <c r="F530" s="3"/>
      <c r="G530" s="3"/>
      <c r="H530" s="3"/>
      <c r="I530" s="145"/>
      <c r="J530" s="3"/>
      <c r="K530" s="3"/>
      <c r="L530" s="146"/>
      <c r="M530" s="146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hidden="1" customHeight="1" spans="1:29">
      <c r="A531" s="3"/>
      <c r="B531" s="3"/>
      <c r="C531" s="4"/>
      <c r="D531" s="3"/>
      <c r="E531" s="3"/>
      <c r="F531" s="3"/>
      <c r="G531" s="3"/>
      <c r="H531" s="3"/>
      <c r="I531" s="145"/>
      <c r="J531" s="3"/>
      <c r="K531" s="3"/>
      <c r="L531" s="146"/>
      <c r="M531" s="146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hidden="1" customHeight="1" spans="1:29">
      <c r="A532" s="3"/>
      <c r="B532" s="3"/>
      <c r="C532" s="4"/>
      <c r="D532" s="3"/>
      <c r="E532" s="3"/>
      <c r="F532" s="3"/>
      <c r="G532" s="3"/>
      <c r="H532" s="3"/>
      <c r="I532" s="145"/>
      <c r="J532" s="3"/>
      <c r="K532" s="3"/>
      <c r="L532" s="146"/>
      <c r="M532" s="146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hidden="1" customHeight="1" spans="1:29">
      <c r="A533" s="3"/>
      <c r="B533" s="3"/>
      <c r="C533" s="4"/>
      <c r="D533" s="3"/>
      <c r="E533" s="3"/>
      <c r="F533" s="3"/>
      <c r="G533" s="3"/>
      <c r="H533" s="3"/>
      <c r="I533" s="147"/>
      <c r="J533" s="3"/>
      <c r="K533" s="3"/>
      <c r="L533" s="146"/>
      <c r="M533" s="146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hidden="1" customHeight="1" spans="1:29">
      <c r="A534" s="3"/>
      <c r="B534" s="3"/>
      <c r="C534" s="4"/>
      <c r="D534" s="3"/>
      <c r="E534" s="3"/>
      <c r="F534" s="3"/>
      <c r="G534" s="3"/>
      <c r="H534" s="3"/>
      <c r="I534" s="147"/>
      <c r="J534" s="3"/>
      <c r="K534" s="3"/>
      <c r="L534" s="146"/>
      <c r="M534" s="146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hidden="1" customHeight="1" spans="1:29">
      <c r="A535" s="3"/>
      <c r="B535" s="3"/>
      <c r="C535" s="4"/>
      <c r="D535" s="3"/>
      <c r="E535" s="3"/>
      <c r="F535" s="3"/>
      <c r="G535" s="3"/>
      <c r="H535" s="3"/>
      <c r="I535" s="147"/>
      <c r="J535" s="3"/>
      <c r="K535" s="3"/>
      <c r="L535" s="146"/>
      <c r="M535" s="146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hidden="1" customHeight="1" spans="1:29">
      <c r="A536" s="3"/>
      <c r="B536" s="3"/>
      <c r="C536" s="4"/>
      <c r="D536" s="3"/>
      <c r="E536" s="3"/>
      <c r="F536" s="3"/>
      <c r="G536" s="3"/>
      <c r="H536" s="3"/>
      <c r="I536" s="147"/>
      <c r="J536" s="3"/>
      <c r="K536" s="3"/>
      <c r="L536" s="146"/>
      <c r="M536" s="146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hidden="1" customHeight="1" spans="1:29">
      <c r="A537" s="3"/>
      <c r="B537" s="3"/>
      <c r="C537" s="4"/>
      <c r="D537" s="3"/>
      <c r="E537" s="3"/>
      <c r="F537" s="3"/>
      <c r="G537" s="3"/>
      <c r="H537" s="3"/>
      <c r="I537" s="147"/>
      <c r="J537" s="3"/>
      <c r="K537" s="3"/>
      <c r="L537" s="146"/>
      <c r="M537" s="146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hidden="1" customHeight="1" spans="1:29">
      <c r="A538" s="3"/>
      <c r="B538" s="3"/>
      <c r="C538" s="4"/>
      <c r="D538" s="3"/>
      <c r="E538" s="3"/>
      <c r="F538" s="3"/>
      <c r="G538" s="3"/>
      <c r="H538" s="3"/>
      <c r="I538" s="147"/>
      <c r="J538" s="3"/>
      <c r="K538" s="3"/>
      <c r="L538" s="146"/>
      <c r="M538" s="146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hidden="1" customHeight="1" spans="1:29">
      <c r="A539" s="3"/>
      <c r="B539" s="3"/>
      <c r="C539" s="4"/>
      <c r="D539" s="3"/>
      <c r="E539" s="3"/>
      <c r="F539" s="3"/>
      <c r="G539" s="3"/>
      <c r="H539" s="3"/>
      <c r="I539" s="147"/>
      <c r="J539" s="3"/>
      <c r="K539" s="3"/>
      <c r="L539" s="146"/>
      <c r="M539" s="146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hidden="1" customHeight="1" spans="1:29">
      <c r="A540" s="3"/>
      <c r="B540" s="3"/>
      <c r="C540" s="4"/>
      <c r="D540" s="3"/>
      <c r="E540" s="3"/>
      <c r="F540" s="3"/>
      <c r="G540" s="3"/>
      <c r="H540" s="3"/>
      <c r="I540" s="147"/>
      <c r="J540" s="3"/>
      <c r="K540" s="3"/>
      <c r="L540" s="146"/>
      <c r="M540" s="146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hidden="1" customHeight="1" spans="1:29">
      <c r="A541" s="3"/>
      <c r="B541" s="3"/>
      <c r="C541" s="4"/>
      <c r="D541" s="3"/>
      <c r="E541" s="3"/>
      <c r="F541" s="3"/>
      <c r="G541" s="3"/>
      <c r="H541" s="3"/>
      <c r="I541" s="147"/>
      <c r="J541" s="3"/>
      <c r="K541" s="3"/>
      <c r="L541" s="146"/>
      <c r="M541" s="146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hidden="1" customHeight="1" spans="1:29">
      <c r="A542" s="3"/>
      <c r="B542" s="3"/>
      <c r="C542" s="4"/>
      <c r="D542" s="3"/>
      <c r="E542" s="3"/>
      <c r="F542" s="3"/>
      <c r="G542" s="3"/>
      <c r="H542" s="3"/>
      <c r="I542" s="147"/>
      <c r="J542" s="3"/>
      <c r="K542" s="3"/>
      <c r="L542" s="146"/>
      <c r="M542" s="146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hidden="1" customHeight="1" spans="1:29">
      <c r="A543" s="3"/>
      <c r="B543" s="3"/>
      <c r="C543" s="4"/>
      <c r="D543" s="3"/>
      <c r="E543" s="3"/>
      <c r="F543" s="3"/>
      <c r="G543" s="3"/>
      <c r="H543" s="3"/>
      <c r="I543" s="147"/>
      <c r="J543" s="3"/>
      <c r="K543" s="3"/>
      <c r="L543" s="146"/>
      <c r="M543" s="146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hidden="1" customHeight="1" spans="1:29">
      <c r="A544" s="3"/>
      <c r="B544" s="3"/>
      <c r="C544" s="4"/>
      <c r="D544" s="3"/>
      <c r="E544" s="3"/>
      <c r="F544" s="3"/>
      <c r="G544" s="3"/>
      <c r="H544" s="3"/>
      <c r="I544" s="147"/>
      <c r="J544" s="3"/>
      <c r="K544" s="3"/>
      <c r="L544" s="146"/>
      <c r="M544" s="146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hidden="1" customHeight="1" spans="1:29">
      <c r="A545" s="3"/>
      <c r="B545" s="3"/>
      <c r="C545" s="4"/>
      <c r="D545" s="3"/>
      <c r="E545" s="3"/>
      <c r="F545" s="3"/>
      <c r="G545" s="3"/>
      <c r="H545" s="3"/>
      <c r="I545" s="147"/>
      <c r="J545" s="3"/>
      <c r="K545" s="3"/>
      <c r="L545" s="146"/>
      <c r="M545" s="146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hidden="1" customHeight="1" spans="1:29">
      <c r="A546" s="3"/>
      <c r="B546" s="3"/>
      <c r="C546" s="4"/>
      <c r="D546" s="3"/>
      <c r="E546" s="3"/>
      <c r="F546" s="3"/>
      <c r="G546" s="3"/>
      <c r="H546" s="3"/>
      <c r="I546" s="147"/>
      <c r="J546" s="3"/>
      <c r="K546" s="3"/>
      <c r="L546" s="146"/>
      <c r="M546" s="146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hidden="1" customHeight="1" spans="1:29">
      <c r="A547" s="3"/>
      <c r="B547" s="3"/>
      <c r="C547" s="4"/>
      <c r="D547" s="3"/>
      <c r="E547" s="3"/>
      <c r="F547" s="3"/>
      <c r="G547" s="3"/>
      <c r="H547" s="3"/>
      <c r="I547" s="145"/>
      <c r="J547" s="3"/>
      <c r="K547" s="3"/>
      <c r="L547" s="146"/>
      <c r="M547" s="146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hidden="1" customHeight="1" spans="1:29">
      <c r="A548" s="3"/>
      <c r="B548" s="3"/>
      <c r="C548" s="4"/>
      <c r="D548" s="3"/>
      <c r="E548" s="3"/>
      <c r="F548" s="3"/>
      <c r="G548" s="3"/>
      <c r="H548" s="3"/>
      <c r="I548" s="145"/>
      <c r="J548" s="3"/>
      <c r="K548" s="3"/>
      <c r="L548" s="146"/>
      <c r="M548" s="146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hidden="1" customHeight="1" spans="1:29">
      <c r="A549" s="3"/>
      <c r="B549" s="3"/>
      <c r="C549" s="4"/>
      <c r="D549" s="3"/>
      <c r="E549" s="3"/>
      <c r="F549" s="3"/>
      <c r="G549" s="3"/>
      <c r="H549" s="3"/>
      <c r="I549" s="145"/>
      <c r="J549" s="3"/>
      <c r="K549" s="3"/>
      <c r="L549" s="146"/>
      <c r="M549" s="146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hidden="1" customHeight="1" spans="1:29">
      <c r="A550" s="3"/>
      <c r="B550" s="3"/>
      <c r="C550" s="4"/>
      <c r="D550" s="3"/>
      <c r="E550" s="3"/>
      <c r="F550" s="3"/>
      <c r="G550" s="3"/>
      <c r="H550" s="3"/>
      <c r="I550" s="145"/>
      <c r="J550" s="3"/>
      <c r="K550" s="3"/>
      <c r="L550" s="146"/>
      <c r="M550" s="146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hidden="1" customHeight="1" spans="1:29">
      <c r="A551" s="3"/>
      <c r="B551" s="3"/>
      <c r="C551" s="4"/>
      <c r="D551" s="3"/>
      <c r="E551" s="3"/>
      <c r="F551" s="3"/>
      <c r="G551" s="3"/>
      <c r="H551" s="3"/>
      <c r="I551" s="145"/>
      <c r="J551" s="3"/>
      <c r="K551" s="3"/>
      <c r="L551" s="146"/>
      <c r="M551" s="146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hidden="1" customHeight="1" spans="1:29">
      <c r="A552" s="3"/>
      <c r="B552" s="3"/>
      <c r="C552" s="4"/>
      <c r="D552" s="3"/>
      <c r="E552" s="3"/>
      <c r="F552" s="3"/>
      <c r="G552" s="3"/>
      <c r="H552" s="3"/>
      <c r="I552" s="147"/>
      <c r="J552" s="3"/>
      <c r="K552" s="3"/>
      <c r="L552" s="146"/>
      <c r="M552" s="146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hidden="1" customHeight="1" spans="1:29">
      <c r="A553" s="3"/>
      <c r="B553" s="3"/>
      <c r="C553" s="4"/>
      <c r="D553" s="3"/>
      <c r="E553" s="3"/>
      <c r="F553" s="3"/>
      <c r="G553" s="3"/>
      <c r="H553" s="3"/>
      <c r="I553" s="147"/>
      <c r="J553" s="3"/>
      <c r="K553" s="3"/>
      <c r="L553" s="146"/>
      <c r="M553" s="146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hidden="1" customHeight="1" spans="1:29">
      <c r="A554" s="3"/>
      <c r="B554" s="3"/>
      <c r="C554" s="4"/>
      <c r="D554" s="3"/>
      <c r="E554" s="3"/>
      <c r="F554" s="3"/>
      <c r="G554" s="3"/>
      <c r="H554" s="3"/>
      <c r="I554" s="145"/>
      <c r="J554" s="3"/>
      <c r="K554" s="3"/>
      <c r="L554" s="146"/>
      <c r="M554" s="146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hidden="1" customHeight="1" spans="1:29">
      <c r="A555" s="3"/>
      <c r="B555" s="3"/>
      <c r="C555" s="4"/>
      <c r="D555" s="3"/>
      <c r="E555" s="3"/>
      <c r="F555" s="3"/>
      <c r="G555" s="3"/>
      <c r="H555" s="3"/>
      <c r="I555" s="145"/>
      <c r="J555" s="3"/>
      <c r="K555" s="3"/>
      <c r="L555" s="146"/>
      <c r="M555" s="146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hidden="1" customHeight="1" spans="1:29">
      <c r="A556" s="3"/>
      <c r="B556" s="3"/>
      <c r="C556" s="4"/>
      <c r="D556" s="3"/>
      <c r="E556" s="3"/>
      <c r="F556" s="3"/>
      <c r="G556" s="3"/>
      <c r="H556" s="3"/>
      <c r="I556" s="145"/>
      <c r="J556" s="3"/>
      <c r="K556" s="3"/>
      <c r="L556" s="146"/>
      <c r="M556" s="146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hidden="1" customHeight="1" spans="1:29">
      <c r="A557" s="3"/>
      <c r="B557" s="3"/>
      <c r="C557" s="4"/>
      <c r="D557" s="3"/>
      <c r="E557" s="3"/>
      <c r="F557" s="3"/>
      <c r="G557" s="3"/>
      <c r="H557" s="3"/>
      <c r="I557" s="145"/>
      <c r="J557" s="3"/>
      <c r="K557" s="3"/>
      <c r="L557" s="146"/>
      <c r="M557" s="146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hidden="1" customHeight="1" spans="1:29">
      <c r="A558" s="3"/>
      <c r="B558" s="3"/>
      <c r="C558" s="4"/>
      <c r="D558" s="3"/>
      <c r="E558" s="3"/>
      <c r="F558" s="3"/>
      <c r="G558" s="3"/>
      <c r="H558" s="3"/>
      <c r="I558" s="145"/>
      <c r="J558" s="3"/>
      <c r="K558" s="3"/>
      <c r="L558" s="146"/>
      <c r="M558" s="146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hidden="1" customHeight="1" spans="1:29">
      <c r="A559" s="3"/>
      <c r="B559" s="3"/>
      <c r="C559" s="4"/>
      <c r="D559" s="3"/>
      <c r="E559" s="3"/>
      <c r="F559" s="3"/>
      <c r="G559" s="3"/>
      <c r="H559" s="3"/>
      <c r="I559" s="145"/>
      <c r="J559" s="3"/>
      <c r="K559" s="3"/>
      <c r="L559" s="146"/>
      <c r="M559" s="146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hidden="1" customHeight="1" spans="1:29">
      <c r="A560" s="3"/>
      <c r="B560" s="3"/>
      <c r="C560" s="4"/>
      <c r="D560" s="3"/>
      <c r="E560" s="3"/>
      <c r="F560" s="3"/>
      <c r="G560" s="3"/>
      <c r="H560" s="3"/>
      <c r="I560" s="145"/>
      <c r="J560" s="3"/>
      <c r="K560" s="3"/>
      <c r="L560" s="146"/>
      <c r="M560" s="146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hidden="1" customHeight="1" spans="1:29">
      <c r="A561" s="3"/>
      <c r="B561" s="3"/>
      <c r="C561" s="4"/>
      <c r="D561" s="3"/>
      <c r="E561" s="3"/>
      <c r="F561" s="3"/>
      <c r="G561" s="3"/>
      <c r="H561" s="3"/>
      <c r="I561" s="147"/>
      <c r="J561" s="3"/>
      <c r="K561" s="3"/>
      <c r="L561" s="146"/>
      <c r="M561" s="146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hidden="1" customHeight="1" spans="1:29">
      <c r="A562" s="3"/>
      <c r="B562" s="3"/>
      <c r="C562" s="4"/>
      <c r="D562" s="3"/>
      <c r="E562" s="3"/>
      <c r="F562" s="3"/>
      <c r="G562" s="3"/>
      <c r="H562" s="3"/>
      <c r="I562" s="147"/>
      <c r="J562" s="3"/>
      <c r="K562" s="3"/>
      <c r="L562" s="146"/>
      <c r="M562" s="146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hidden="1" customHeight="1" spans="1:29">
      <c r="A563" s="3"/>
      <c r="B563" s="3"/>
      <c r="C563" s="4"/>
      <c r="D563" s="3"/>
      <c r="E563" s="3"/>
      <c r="F563" s="3"/>
      <c r="G563" s="3"/>
      <c r="H563" s="3"/>
      <c r="I563" s="145"/>
      <c r="J563" s="3"/>
      <c r="K563" s="3"/>
      <c r="L563" s="146"/>
      <c r="M563" s="146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hidden="1" customHeight="1" spans="1:29">
      <c r="A564" s="3"/>
      <c r="B564" s="3"/>
      <c r="C564" s="4"/>
      <c r="D564" s="3"/>
      <c r="E564" s="3"/>
      <c r="F564" s="3"/>
      <c r="G564" s="3"/>
      <c r="H564" s="3"/>
      <c r="I564" s="145"/>
      <c r="J564" s="3"/>
      <c r="K564" s="3"/>
      <c r="L564" s="146"/>
      <c r="M564" s="146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hidden="1" customHeight="1" spans="1:29">
      <c r="A565" s="3"/>
      <c r="B565" s="3"/>
      <c r="C565" s="4"/>
      <c r="D565" s="3"/>
      <c r="E565" s="3"/>
      <c r="F565" s="3"/>
      <c r="G565" s="3"/>
      <c r="H565" s="3"/>
      <c r="I565" s="145"/>
      <c r="J565" s="3"/>
      <c r="K565" s="3"/>
      <c r="L565" s="146"/>
      <c r="M565" s="146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hidden="1" customHeight="1" spans="1:29">
      <c r="A566" s="3"/>
      <c r="B566" s="3"/>
      <c r="C566" s="4"/>
      <c r="D566" s="3"/>
      <c r="E566" s="3"/>
      <c r="F566" s="3"/>
      <c r="G566" s="3"/>
      <c r="H566" s="3"/>
      <c r="I566" s="147"/>
      <c r="J566" s="3"/>
      <c r="K566" s="3"/>
      <c r="L566" s="146"/>
      <c r="M566" s="146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hidden="1" customHeight="1" spans="1:29">
      <c r="A567" s="3"/>
      <c r="B567" s="3"/>
      <c r="C567" s="4"/>
      <c r="D567" s="3"/>
      <c r="E567" s="3"/>
      <c r="F567" s="3"/>
      <c r="G567" s="3"/>
      <c r="H567" s="3"/>
      <c r="I567" s="147"/>
      <c r="J567" s="3"/>
      <c r="K567" s="3"/>
      <c r="L567" s="146"/>
      <c r="M567" s="146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hidden="1" customHeight="1" spans="1:29">
      <c r="A568" s="3"/>
      <c r="B568" s="3"/>
      <c r="C568" s="4"/>
      <c r="D568" s="3"/>
      <c r="E568" s="3"/>
      <c r="F568" s="3"/>
      <c r="G568" s="3"/>
      <c r="H568" s="3"/>
      <c r="I568" s="147"/>
      <c r="J568" s="3"/>
      <c r="K568" s="3"/>
      <c r="L568" s="146"/>
      <c r="M568" s="146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hidden="1" customHeight="1" spans="1:29">
      <c r="A569" s="3"/>
      <c r="B569" s="3"/>
      <c r="C569" s="4"/>
      <c r="D569" s="3"/>
      <c r="E569" s="3"/>
      <c r="F569" s="3"/>
      <c r="G569" s="3"/>
      <c r="H569" s="3"/>
      <c r="I569" s="147"/>
      <c r="J569" s="3"/>
      <c r="K569" s="3"/>
      <c r="L569" s="146"/>
      <c r="M569" s="146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hidden="1" customHeight="1" spans="1:29">
      <c r="A570" s="3"/>
      <c r="B570" s="3"/>
      <c r="C570" s="4"/>
      <c r="D570" s="3"/>
      <c r="E570" s="3"/>
      <c r="F570" s="3"/>
      <c r="G570" s="3"/>
      <c r="H570" s="3"/>
      <c r="I570" s="147"/>
      <c r="J570" s="3"/>
      <c r="K570" s="3"/>
      <c r="L570" s="146"/>
      <c r="M570" s="146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hidden="1" customHeight="1" spans="1:29">
      <c r="A571" s="3"/>
      <c r="B571" s="3"/>
      <c r="C571" s="4"/>
      <c r="D571" s="3"/>
      <c r="E571" s="3"/>
      <c r="F571" s="3"/>
      <c r="G571" s="3"/>
      <c r="H571" s="3"/>
      <c r="I571" s="147"/>
      <c r="J571" s="3"/>
      <c r="K571" s="3"/>
      <c r="L571" s="146"/>
      <c r="M571" s="146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hidden="1" customHeight="1" spans="1:29">
      <c r="A572" s="3"/>
      <c r="B572" s="3"/>
      <c r="C572" s="4"/>
      <c r="D572" s="3"/>
      <c r="E572" s="3"/>
      <c r="F572" s="3"/>
      <c r="G572" s="3"/>
      <c r="H572" s="3"/>
      <c r="I572" s="145"/>
      <c r="J572" s="3"/>
      <c r="K572" s="3"/>
      <c r="L572" s="146"/>
      <c r="M572" s="146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hidden="1" customHeight="1" spans="1:29">
      <c r="A573" s="3"/>
      <c r="B573" s="3"/>
      <c r="C573" s="4"/>
      <c r="D573" s="3"/>
      <c r="E573" s="3"/>
      <c r="F573" s="3"/>
      <c r="G573" s="3"/>
      <c r="H573" s="3"/>
      <c r="I573" s="145"/>
      <c r="J573" s="3"/>
      <c r="K573" s="3"/>
      <c r="L573" s="146"/>
      <c r="M573" s="146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hidden="1" customHeight="1" spans="1:29">
      <c r="A574" s="3"/>
      <c r="B574" s="3"/>
      <c r="C574" s="4"/>
      <c r="D574" s="3"/>
      <c r="E574" s="3"/>
      <c r="F574" s="3"/>
      <c r="G574" s="3"/>
      <c r="H574" s="3"/>
      <c r="I574" s="145"/>
      <c r="J574" s="3"/>
      <c r="K574" s="3"/>
      <c r="L574" s="146"/>
      <c r="M574" s="146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hidden="1" customHeight="1" spans="1:29">
      <c r="A575" s="3"/>
      <c r="B575" s="3"/>
      <c r="C575" s="4"/>
      <c r="D575" s="3"/>
      <c r="E575" s="3"/>
      <c r="F575" s="3"/>
      <c r="G575" s="3"/>
      <c r="H575" s="3"/>
      <c r="I575" s="145"/>
      <c r="J575" s="3"/>
      <c r="K575" s="3"/>
      <c r="L575" s="146"/>
      <c r="M575" s="146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hidden="1" customHeight="1" spans="1:29">
      <c r="A576" s="3"/>
      <c r="B576" s="3"/>
      <c r="C576" s="4"/>
      <c r="D576" s="3"/>
      <c r="E576" s="3"/>
      <c r="F576" s="3"/>
      <c r="G576" s="3"/>
      <c r="H576" s="3"/>
      <c r="I576" s="147"/>
      <c r="J576" s="3"/>
      <c r="K576" s="3"/>
      <c r="L576" s="146"/>
      <c r="M576" s="146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hidden="1" customHeight="1" spans="1:29">
      <c r="A577" s="3"/>
      <c r="B577" s="3"/>
      <c r="C577" s="4"/>
      <c r="D577" s="3"/>
      <c r="E577" s="3"/>
      <c r="F577" s="3"/>
      <c r="G577" s="3"/>
      <c r="H577" s="3"/>
      <c r="I577" s="147"/>
      <c r="J577" s="3"/>
      <c r="K577" s="3"/>
      <c r="L577" s="146"/>
      <c r="M577" s="146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hidden="1" customHeight="1" spans="1:29">
      <c r="A578" s="3"/>
      <c r="B578" s="3"/>
      <c r="C578" s="4"/>
      <c r="D578" s="3"/>
      <c r="E578" s="3"/>
      <c r="F578" s="3"/>
      <c r="G578" s="3"/>
      <c r="H578" s="3"/>
      <c r="I578" s="147"/>
      <c r="J578" s="3"/>
      <c r="K578" s="3"/>
      <c r="L578" s="146"/>
      <c r="M578" s="146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hidden="1" customHeight="1" spans="1:29">
      <c r="A579" s="3"/>
      <c r="B579" s="3"/>
      <c r="C579" s="4"/>
      <c r="D579" s="3"/>
      <c r="E579" s="3"/>
      <c r="F579" s="3"/>
      <c r="G579" s="3"/>
      <c r="H579" s="3"/>
      <c r="I579" s="147"/>
      <c r="J579" s="3"/>
      <c r="K579" s="3"/>
      <c r="L579" s="146"/>
      <c r="M579" s="146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hidden="1" customHeight="1" spans="1:29">
      <c r="A580" s="3"/>
      <c r="B580" s="3"/>
      <c r="C580" s="4"/>
      <c r="D580" s="3"/>
      <c r="E580" s="3"/>
      <c r="F580" s="3"/>
      <c r="G580" s="3"/>
      <c r="H580" s="3"/>
      <c r="I580" s="147"/>
      <c r="J580" s="3"/>
      <c r="K580" s="3"/>
      <c r="L580" s="146"/>
      <c r="M580" s="146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hidden="1" customHeight="1" spans="1:29">
      <c r="A581" s="3"/>
      <c r="B581" s="3"/>
      <c r="C581" s="4"/>
      <c r="D581" s="3"/>
      <c r="E581" s="3"/>
      <c r="F581" s="3"/>
      <c r="G581" s="3"/>
      <c r="H581" s="3"/>
      <c r="I581" s="145"/>
      <c r="J581" s="3"/>
      <c r="K581" s="3"/>
      <c r="L581" s="146"/>
      <c r="M581" s="146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hidden="1" customHeight="1" spans="1:29">
      <c r="A582" s="3"/>
      <c r="B582" s="3"/>
      <c r="C582" s="4"/>
      <c r="D582" s="3"/>
      <c r="E582" s="3"/>
      <c r="F582" s="3"/>
      <c r="G582" s="3"/>
      <c r="H582" s="3"/>
      <c r="I582" s="145"/>
      <c r="J582" s="3"/>
      <c r="K582" s="3"/>
      <c r="L582" s="146"/>
      <c r="M582" s="146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hidden="1" customHeight="1" spans="1:29">
      <c r="A583" s="3"/>
      <c r="B583" s="3"/>
      <c r="C583" s="4"/>
      <c r="D583" s="3"/>
      <c r="E583" s="3"/>
      <c r="F583" s="3"/>
      <c r="G583" s="3"/>
      <c r="H583" s="3"/>
      <c r="I583" s="145"/>
      <c r="J583" s="3"/>
      <c r="K583" s="3"/>
      <c r="L583" s="146"/>
      <c r="M583" s="146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hidden="1" customHeight="1" spans="1:29">
      <c r="A584" s="3"/>
      <c r="B584" s="3"/>
      <c r="C584" s="4"/>
      <c r="D584" s="3"/>
      <c r="E584" s="3"/>
      <c r="F584" s="3"/>
      <c r="G584" s="3"/>
      <c r="H584" s="3"/>
      <c r="I584" s="145"/>
      <c r="J584" s="3"/>
      <c r="K584" s="3"/>
      <c r="L584" s="146"/>
      <c r="M584" s="146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hidden="1" customHeight="1" spans="1:29">
      <c r="A585" s="3"/>
      <c r="B585" s="3"/>
      <c r="C585" s="4"/>
      <c r="D585" s="3"/>
      <c r="E585" s="3"/>
      <c r="F585" s="3"/>
      <c r="G585" s="3"/>
      <c r="H585" s="3"/>
      <c r="I585" s="145"/>
      <c r="J585" s="3"/>
      <c r="K585" s="3"/>
      <c r="L585" s="146"/>
      <c r="M585" s="146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hidden="1" customHeight="1" spans="1:29">
      <c r="A586" s="3"/>
      <c r="B586" s="3"/>
      <c r="C586" s="4"/>
      <c r="D586" s="3"/>
      <c r="E586" s="3"/>
      <c r="F586" s="3"/>
      <c r="G586" s="3"/>
      <c r="H586" s="3"/>
      <c r="I586" s="145"/>
      <c r="J586" s="3"/>
      <c r="K586" s="3"/>
      <c r="L586" s="146"/>
      <c r="M586" s="146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hidden="1" customHeight="1" spans="1:29">
      <c r="A587" s="3"/>
      <c r="B587" s="3"/>
      <c r="C587" s="4"/>
      <c r="D587" s="3"/>
      <c r="E587" s="3"/>
      <c r="F587" s="3"/>
      <c r="G587" s="3"/>
      <c r="H587" s="3"/>
      <c r="I587" s="145"/>
      <c r="J587" s="3"/>
      <c r="K587" s="3"/>
      <c r="L587" s="146"/>
      <c r="M587" s="146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hidden="1" customHeight="1" spans="1:29">
      <c r="A588" s="3"/>
      <c r="B588" s="3"/>
      <c r="C588" s="4"/>
      <c r="D588" s="3"/>
      <c r="E588" s="3"/>
      <c r="F588" s="3"/>
      <c r="G588" s="3"/>
      <c r="H588" s="3"/>
      <c r="I588" s="145"/>
      <c r="J588" s="3"/>
      <c r="K588" s="3"/>
      <c r="L588" s="146"/>
      <c r="M588" s="146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hidden="1" customHeight="1" spans="1:29">
      <c r="A589" s="3"/>
      <c r="B589" s="3"/>
      <c r="C589" s="4"/>
      <c r="D589" s="3"/>
      <c r="E589" s="3"/>
      <c r="F589" s="3"/>
      <c r="G589" s="3"/>
      <c r="H589" s="3"/>
      <c r="I589" s="145"/>
      <c r="J589" s="3"/>
      <c r="K589" s="3"/>
      <c r="L589" s="146"/>
      <c r="M589" s="146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hidden="1" customHeight="1" spans="1:29">
      <c r="A590" s="3"/>
      <c r="B590" s="3"/>
      <c r="C590" s="4"/>
      <c r="D590" s="3"/>
      <c r="E590" s="3"/>
      <c r="F590" s="3"/>
      <c r="G590" s="3"/>
      <c r="H590" s="3"/>
      <c r="I590" s="145"/>
      <c r="J590" s="3"/>
      <c r="K590" s="3"/>
      <c r="L590" s="146"/>
      <c r="M590" s="146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hidden="1" customHeight="1" spans="1:29">
      <c r="A591" s="3"/>
      <c r="B591" s="3"/>
      <c r="C591" s="4"/>
      <c r="D591" s="3"/>
      <c r="E591" s="3"/>
      <c r="F591" s="3"/>
      <c r="G591" s="3"/>
      <c r="H591" s="3"/>
      <c r="I591" s="145"/>
      <c r="J591" s="3"/>
      <c r="K591" s="3"/>
      <c r="L591" s="146"/>
      <c r="M591" s="146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hidden="1" customHeight="1" spans="1:29">
      <c r="A592" s="3"/>
      <c r="B592" s="3"/>
      <c r="C592" s="4"/>
      <c r="D592" s="3"/>
      <c r="E592" s="3"/>
      <c r="F592" s="3"/>
      <c r="G592" s="3"/>
      <c r="H592" s="3"/>
      <c r="I592" s="145"/>
      <c r="J592" s="3"/>
      <c r="K592" s="3"/>
      <c r="L592" s="146"/>
      <c r="M592" s="146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hidden="1" customHeight="1" spans="1:29">
      <c r="A593" s="3"/>
      <c r="B593" s="3"/>
      <c r="C593" s="4"/>
      <c r="D593" s="3"/>
      <c r="E593" s="3"/>
      <c r="F593" s="3"/>
      <c r="G593" s="3"/>
      <c r="H593" s="3"/>
      <c r="I593" s="145"/>
      <c r="J593" s="3"/>
      <c r="K593" s="3"/>
      <c r="L593" s="146"/>
      <c r="M593" s="146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hidden="1" customHeight="1" spans="1:29">
      <c r="A594" s="3"/>
      <c r="B594" s="3"/>
      <c r="C594" s="4"/>
      <c r="D594" s="3"/>
      <c r="E594" s="3"/>
      <c r="F594" s="3"/>
      <c r="G594" s="3"/>
      <c r="H594" s="3"/>
      <c r="I594" s="147"/>
      <c r="J594" s="3"/>
      <c r="K594" s="3"/>
      <c r="L594" s="146"/>
      <c r="M594" s="146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hidden="1" customHeight="1" spans="1:29">
      <c r="A595" s="3"/>
      <c r="B595" s="3"/>
      <c r="C595" s="4"/>
      <c r="D595" s="3"/>
      <c r="E595" s="3"/>
      <c r="F595" s="3"/>
      <c r="G595" s="3"/>
      <c r="H595" s="3"/>
      <c r="I595" s="147"/>
      <c r="J595" s="3"/>
      <c r="K595" s="3"/>
      <c r="L595" s="146"/>
      <c r="M595" s="146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hidden="1" customHeight="1" spans="1:29">
      <c r="A596" s="3"/>
      <c r="B596" s="3"/>
      <c r="C596" s="4"/>
      <c r="D596" s="3"/>
      <c r="E596" s="3"/>
      <c r="F596" s="3"/>
      <c r="G596" s="3"/>
      <c r="H596" s="3"/>
      <c r="I596" s="147"/>
      <c r="J596" s="3"/>
      <c r="K596" s="3"/>
      <c r="L596" s="146"/>
      <c r="M596" s="146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hidden="1" customHeight="1" spans="1:29">
      <c r="A597" s="3"/>
      <c r="B597" s="3"/>
      <c r="C597" s="4"/>
      <c r="D597" s="3"/>
      <c r="E597" s="3"/>
      <c r="F597" s="3"/>
      <c r="G597" s="3"/>
      <c r="H597" s="3"/>
      <c r="I597" s="147"/>
      <c r="J597" s="3"/>
      <c r="K597" s="3"/>
      <c r="L597" s="146"/>
      <c r="M597" s="146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hidden="1" customHeight="1" spans="1:29">
      <c r="A598" s="3"/>
      <c r="B598" s="3"/>
      <c r="C598" s="4"/>
      <c r="D598" s="3"/>
      <c r="E598" s="3"/>
      <c r="F598" s="3"/>
      <c r="G598" s="3"/>
      <c r="H598" s="3"/>
      <c r="I598" s="147"/>
      <c r="J598" s="3"/>
      <c r="K598" s="3"/>
      <c r="L598" s="146"/>
      <c r="M598" s="146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hidden="1" customHeight="1" spans="1:29">
      <c r="A599" s="3"/>
      <c r="B599" s="3"/>
      <c r="C599" s="4"/>
      <c r="D599" s="3"/>
      <c r="E599" s="3"/>
      <c r="F599" s="3"/>
      <c r="G599" s="3"/>
      <c r="H599" s="3"/>
      <c r="I599" s="147"/>
      <c r="J599" s="3"/>
      <c r="K599" s="3"/>
      <c r="L599" s="146"/>
      <c r="M599" s="146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hidden="1" customHeight="1" spans="1:29">
      <c r="A600" s="3"/>
      <c r="B600" s="3"/>
      <c r="C600" s="4"/>
      <c r="D600" s="3"/>
      <c r="E600" s="3"/>
      <c r="F600" s="3"/>
      <c r="G600" s="3"/>
      <c r="H600" s="3"/>
      <c r="I600" s="145"/>
      <c r="J600" s="3"/>
      <c r="K600" s="3"/>
      <c r="L600" s="146"/>
      <c r="M600" s="146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hidden="1" customHeight="1" spans="1:29">
      <c r="A601" s="3"/>
      <c r="B601" s="3"/>
      <c r="C601" s="4"/>
      <c r="D601" s="3"/>
      <c r="E601" s="3"/>
      <c r="F601" s="3"/>
      <c r="G601" s="3"/>
      <c r="H601" s="3"/>
      <c r="I601" s="145"/>
      <c r="J601" s="3"/>
      <c r="K601" s="3"/>
      <c r="L601" s="146"/>
      <c r="M601" s="146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hidden="1" customHeight="1" spans="1:29">
      <c r="A602" s="3"/>
      <c r="B602" s="3"/>
      <c r="C602" s="4"/>
      <c r="D602" s="3"/>
      <c r="E602" s="3"/>
      <c r="F602" s="3"/>
      <c r="G602" s="3"/>
      <c r="H602" s="3"/>
      <c r="I602" s="145"/>
      <c r="J602" s="3"/>
      <c r="K602" s="3"/>
      <c r="L602" s="146"/>
      <c r="M602" s="146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hidden="1" customHeight="1" spans="1:29">
      <c r="A603" s="3"/>
      <c r="B603" s="3"/>
      <c r="C603" s="4"/>
      <c r="D603" s="3"/>
      <c r="E603" s="3"/>
      <c r="F603" s="3"/>
      <c r="G603" s="3"/>
      <c r="H603" s="3"/>
      <c r="I603" s="145"/>
      <c r="J603" s="3"/>
      <c r="K603" s="3"/>
      <c r="L603" s="146"/>
      <c r="M603" s="146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hidden="1" customHeight="1" spans="1:29">
      <c r="A604" s="3"/>
      <c r="B604" s="3"/>
      <c r="C604" s="4"/>
      <c r="D604" s="3"/>
      <c r="E604" s="3"/>
      <c r="F604" s="3"/>
      <c r="G604" s="3"/>
      <c r="H604" s="3"/>
      <c r="I604" s="145"/>
      <c r="J604" s="3"/>
      <c r="K604" s="3"/>
      <c r="L604" s="146"/>
      <c r="M604" s="146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hidden="1" customHeight="1" spans="1:29">
      <c r="A605" s="3"/>
      <c r="B605" s="3"/>
      <c r="C605" s="4"/>
      <c r="D605" s="3"/>
      <c r="E605" s="3"/>
      <c r="F605" s="3"/>
      <c r="G605" s="3"/>
      <c r="H605" s="3"/>
      <c r="I605" s="145"/>
      <c r="J605" s="3"/>
      <c r="K605" s="3"/>
      <c r="L605" s="146"/>
      <c r="M605" s="146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hidden="1" customHeight="1" spans="1:29">
      <c r="A606" s="3"/>
      <c r="B606" s="3"/>
      <c r="C606" s="4"/>
      <c r="D606" s="3"/>
      <c r="E606" s="3"/>
      <c r="F606" s="3"/>
      <c r="G606" s="3"/>
      <c r="H606" s="3"/>
      <c r="I606" s="145"/>
      <c r="J606" s="3"/>
      <c r="K606" s="3"/>
      <c r="L606" s="146"/>
      <c r="M606" s="146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hidden="1" customHeight="1" spans="1:29">
      <c r="A607" s="3"/>
      <c r="B607" s="3"/>
      <c r="C607" s="4"/>
      <c r="D607" s="3"/>
      <c r="E607" s="3"/>
      <c r="F607" s="3"/>
      <c r="G607" s="3"/>
      <c r="H607" s="3"/>
      <c r="I607" s="145"/>
      <c r="J607" s="3"/>
      <c r="K607" s="3"/>
      <c r="L607" s="146"/>
      <c r="M607" s="146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hidden="1" customHeight="1" spans="1:29">
      <c r="A608" s="3"/>
      <c r="B608" s="3"/>
      <c r="C608" s="4"/>
      <c r="D608" s="3"/>
      <c r="E608" s="3"/>
      <c r="F608" s="3"/>
      <c r="G608" s="3"/>
      <c r="H608" s="3"/>
      <c r="I608" s="145"/>
      <c r="J608" s="3"/>
      <c r="K608" s="3"/>
      <c r="L608" s="146"/>
      <c r="M608" s="146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hidden="1" customHeight="1" spans="1:29">
      <c r="A609" s="3"/>
      <c r="B609" s="3"/>
      <c r="C609" s="4"/>
      <c r="D609" s="3"/>
      <c r="E609" s="3"/>
      <c r="F609" s="3"/>
      <c r="G609" s="3"/>
      <c r="H609" s="3"/>
      <c r="I609" s="145"/>
      <c r="J609" s="3"/>
      <c r="K609" s="3"/>
      <c r="L609" s="146"/>
      <c r="M609" s="146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hidden="1" customHeight="1" spans="1:29">
      <c r="A610" s="3"/>
      <c r="B610" s="3"/>
      <c r="C610" s="4"/>
      <c r="D610" s="3"/>
      <c r="E610" s="3"/>
      <c r="F610" s="3"/>
      <c r="G610" s="3"/>
      <c r="H610" s="3"/>
      <c r="I610" s="145"/>
      <c r="J610" s="3"/>
      <c r="K610" s="3"/>
      <c r="L610" s="146"/>
      <c r="M610" s="146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hidden="1" customHeight="1" spans="1:29">
      <c r="A611" s="3"/>
      <c r="B611" s="3"/>
      <c r="C611" s="4"/>
      <c r="D611" s="3"/>
      <c r="E611" s="3"/>
      <c r="F611" s="3"/>
      <c r="G611" s="3"/>
      <c r="H611" s="3"/>
      <c r="I611" s="147"/>
      <c r="J611" s="3"/>
      <c r="K611" s="3"/>
      <c r="L611" s="146"/>
      <c r="M611" s="146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hidden="1" customHeight="1" spans="1:29">
      <c r="A612" s="3"/>
      <c r="B612" s="3"/>
      <c r="C612" s="4"/>
      <c r="D612" s="3"/>
      <c r="E612" s="3"/>
      <c r="F612" s="3"/>
      <c r="G612" s="3"/>
      <c r="H612" s="3"/>
      <c r="I612" s="147"/>
      <c r="J612" s="3"/>
      <c r="K612" s="3"/>
      <c r="L612" s="146"/>
      <c r="M612" s="146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hidden="1" customHeight="1" spans="1:29">
      <c r="A613" s="3"/>
      <c r="B613" s="3"/>
      <c r="C613" s="4"/>
      <c r="D613" s="3"/>
      <c r="E613" s="3"/>
      <c r="F613" s="3"/>
      <c r="G613" s="3"/>
      <c r="H613" s="3"/>
      <c r="I613" s="147"/>
      <c r="J613" s="3"/>
      <c r="K613" s="3"/>
      <c r="L613" s="146"/>
      <c r="M613" s="146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hidden="1" customHeight="1" spans="1:29">
      <c r="A614" s="3"/>
      <c r="B614" s="3"/>
      <c r="C614" s="4"/>
      <c r="D614" s="3"/>
      <c r="E614" s="3"/>
      <c r="F614" s="3"/>
      <c r="G614" s="3"/>
      <c r="H614" s="3"/>
      <c r="I614" s="147"/>
      <c r="J614" s="3"/>
      <c r="K614" s="3"/>
      <c r="L614" s="146"/>
      <c r="M614" s="146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hidden="1" customHeight="1" spans="1:29">
      <c r="A615" s="3"/>
      <c r="B615" s="3"/>
      <c r="C615" s="4"/>
      <c r="D615" s="3"/>
      <c r="E615" s="3"/>
      <c r="F615" s="3"/>
      <c r="G615" s="3"/>
      <c r="H615" s="3"/>
      <c r="I615" s="147"/>
      <c r="J615" s="3"/>
      <c r="K615" s="3"/>
      <c r="L615" s="146"/>
      <c r="M615" s="146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hidden="1" customHeight="1" spans="1:29">
      <c r="A616" s="3"/>
      <c r="B616" s="3"/>
      <c r="C616" s="4"/>
      <c r="D616" s="3"/>
      <c r="E616" s="3"/>
      <c r="F616" s="3"/>
      <c r="G616" s="3"/>
      <c r="H616" s="3"/>
      <c r="I616" s="147"/>
      <c r="J616" s="3"/>
      <c r="K616" s="3"/>
      <c r="L616" s="146"/>
      <c r="M616" s="146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hidden="1" customHeight="1" spans="1:29">
      <c r="A617" s="3"/>
      <c r="B617" s="3"/>
      <c r="C617" s="4"/>
      <c r="D617" s="3"/>
      <c r="E617" s="3"/>
      <c r="F617" s="3"/>
      <c r="G617" s="3"/>
      <c r="H617" s="3"/>
      <c r="I617" s="147"/>
      <c r="J617" s="3"/>
      <c r="K617" s="3"/>
      <c r="L617" s="146"/>
      <c r="M617" s="146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hidden="1" customHeight="1" spans="1:29">
      <c r="A618" s="3"/>
      <c r="B618" s="3"/>
      <c r="C618" s="4"/>
      <c r="D618" s="3"/>
      <c r="E618" s="3"/>
      <c r="F618" s="3"/>
      <c r="G618" s="3"/>
      <c r="H618" s="3"/>
      <c r="I618" s="147"/>
      <c r="J618" s="3"/>
      <c r="K618" s="3"/>
      <c r="L618" s="146"/>
      <c r="M618" s="146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hidden="1" customHeight="1" spans="1:29">
      <c r="A619" s="3"/>
      <c r="B619" s="3"/>
      <c r="C619" s="4"/>
      <c r="D619" s="3"/>
      <c r="E619" s="3"/>
      <c r="F619" s="3"/>
      <c r="G619" s="3"/>
      <c r="H619" s="3"/>
      <c r="I619" s="147"/>
      <c r="J619" s="3"/>
      <c r="K619" s="3"/>
      <c r="L619" s="146"/>
      <c r="M619" s="146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hidden="1" customHeight="1" spans="1:29">
      <c r="A620" s="3"/>
      <c r="B620" s="3"/>
      <c r="C620" s="4"/>
      <c r="D620" s="3"/>
      <c r="E620" s="3"/>
      <c r="F620" s="3"/>
      <c r="G620" s="3"/>
      <c r="H620" s="3"/>
      <c r="I620" s="147"/>
      <c r="J620" s="3"/>
      <c r="K620" s="3"/>
      <c r="L620" s="146"/>
      <c r="M620" s="146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hidden="1" customHeight="1" spans="1:29">
      <c r="A621" s="3"/>
      <c r="B621" s="3"/>
      <c r="C621" s="4"/>
      <c r="D621" s="3"/>
      <c r="E621" s="3"/>
      <c r="F621" s="3"/>
      <c r="G621" s="3"/>
      <c r="H621" s="3"/>
      <c r="I621" s="145"/>
      <c r="J621" s="3"/>
      <c r="K621" s="3"/>
      <c r="L621" s="146"/>
      <c r="M621" s="146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hidden="1" customHeight="1" spans="1:29">
      <c r="A622" s="3"/>
      <c r="B622" s="3"/>
      <c r="C622" s="4"/>
      <c r="D622" s="3"/>
      <c r="E622" s="3"/>
      <c r="F622" s="3"/>
      <c r="G622" s="3"/>
      <c r="H622" s="3"/>
      <c r="I622" s="147"/>
      <c r="J622" s="3"/>
      <c r="K622" s="3"/>
      <c r="L622" s="146"/>
      <c r="M622" s="146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hidden="1" customHeight="1" spans="1:29">
      <c r="A623" s="3"/>
      <c r="B623" s="3"/>
      <c r="C623" s="4"/>
      <c r="D623" s="3"/>
      <c r="E623" s="3"/>
      <c r="F623" s="3"/>
      <c r="G623" s="3"/>
      <c r="H623" s="3"/>
      <c r="I623" s="147"/>
      <c r="J623" s="3"/>
      <c r="K623" s="3"/>
      <c r="L623" s="146"/>
      <c r="M623" s="146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hidden="1" customHeight="1" spans="1:29">
      <c r="A624" s="3"/>
      <c r="B624" s="3"/>
      <c r="C624" s="4"/>
      <c r="D624" s="3"/>
      <c r="E624" s="3"/>
      <c r="F624" s="3"/>
      <c r="G624" s="3"/>
      <c r="H624" s="3"/>
      <c r="I624" s="147"/>
      <c r="J624" s="3"/>
      <c r="K624" s="3"/>
      <c r="L624" s="146"/>
      <c r="M624" s="146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hidden="1" customHeight="1" spans="1:29">
      <c r="A625" s="3"/>
      <c r="B625" s="3"/>
      <c r="C625" s="4"/>
      <c r="D625" s="3"/>
      <c r="E625" s="3"/>
      <c r="F625" s="3"/>
      <c r="G625" s="3"/>
      <c r="H625" s="3"/>
      <c r="I625" s="147"/>
      <c r="J625" s="3"/>
      <c r="K625" s="3"/>
      <c r="L625" s="146"/>
      <c r="M625" s="146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hidden="1" customHeight="1" spans="1:29">
      <c r="A626" s="3"/>
      <c r="B626" s="3"/>
      <c r="C626" s="4"/>
      <c r="D626" s="3"/>
      <c r="E626" s="3"/>
      <c r="F626" s="3"/>
      <c r="G626" s="3"/>
      <c r="H626" s="3"/>
      <c r="I626" s="147"/>
      <c r="J626" s="3"/>
      <c r="K626" s="3"/>
      <c r="L626" s="146"/>
      <c r="M626" s="146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hidden="1" customHeight="1" spans="1:29">
      <c r="A627" s="3"/>
      <c r="B627" s="3"/>
      <c r="C627" s="4"/>
      <c r="D627" s="3"/>
      <c r="E627" s="3"/>
      <c r="F627" s="3"/>
      <c r="G627" s="3"/>
      <c r="H627" s="3"/>
      <c r="I627" s="147"/>
      <c r="J627" s="3"/>
      <c r="K627" s="3"/>
      <c r="L627" s="146"/>
      <c r="M627" s="146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hidden="1" customHeight="1" spans="1:29">
      <c r="A628" s="3"/>
      <c r="B628" s="3"/>
      <c r="C628" s="4"/>
      <c r="D628" s="3"/>
      <c r="E628" s="3"/>
      <c r="F628" s="3"/>
      <c r="G628" s="3"/>
      <c r="H628" s="3"/>
      <c r="I628" s="147"/>
      <c r="J628" s="3"/>
      <c r="K628" s="3"/>
      <c r="L628" s="146"/>
      <c r="M628" s="146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hidden="1" customHeight="1" spans="1:29">
      <c r="A629" s="3"/>
      <c r="B629" s="3"/>
      <c r="C629" s="4"/>
      <c r="D629" s="3"/>
      <c r="E629" s="3"/>
      <c r="F629" s="3"/>
      <c r="G629" s="3"/>
      <c r="H629" s="3"/>
      <c r="I629" s="147"/>
      <c r="J629" s="3"/>
      <c r="K629" s="3"/>
      <c r="L629" s="146"/>
      <c r="M629" s="146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hidden="1" customHeight="1" spans="1:29">
      <c r="A630" s="3"/>
      <c r="B630" s="3"/>
      <c r="C630" s="4"/>
      <c r="D630" s="3"/>
      <c r="E630" s="3"/>
      <c r="F630" s="3"/>
      <c r="G630" s="3"/>
      <c r="H630" s="3"/>
      <c r="I630" s="147"/>
      <c r="J630" s="3"/>
      <c r="K630" s="3"/>
      <c r="L630" s="146"/>
      <c r="M630" s="146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hidden="1" customHeight="1" spans="1:29">
      <c r="A631" s="3"/>
      <c r="B631" s="3"/>
      <c r="C631" s="4"/>
      <c r="D631" s="3"/>
      <c r="E631" s="3"/>
      <c r="F631" s="3"/>
      <c r="G631" s="3"/>
      <c r="H631" s="3"/>
      <c r="I631" s="145"/>
      <c r="J631" s="3"/>
      <c r="K631" s="3"/>
      <c r="L631" s="146"/>
      <c r="M631" s="146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hidden="1" customHeight="1" spans="1:29">
      <c r="A632" s="3"/>
      <c r="B632" s="3"/>
      <c r="C632" s="4"/>
      <c r="D632" s="3"/>
      <c r="E632" s="3"/>
      <c r="F632" s="3"/>
      <c r="G632" s="3"/>
      <c r="H632" s="3"/>
      <c r="I632" s="145"/>
      <c r="J632" s="3"/>
      <c r="K632" s="3"/>
      <c r="L632" s="146"/>
      <c r="M632" s="146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hidden="1" customHeight="1" spans="1:29">
      <c r="A633" s="3"/>
      <c r="B633" s="3"/>
      <c r="C633" s="4"/>
      <c r="D633" s="3"/>
      <c r="E633" s="3"/>
      <c r="F633" s="3"/>
      <c r="G633" s="3"/>
      <c r="H633" s="3"/>
      <c r="I633" s="145"/>
      <c r="J633" s="3"/>
      <c r="K633" s="3"/>
      <c r="L633" s="146"/>
      <c r="M633" s="146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hidden="1" customHeight="1" spans="1:29">
      <c r="A634" s="3"/>
      <c r="B634" s="3"/>
      <c r="C634" s="4"/>
      <c r="D634" s="3"/>
      <c r="E634" s="3"/>
      <c r="F634" s="3"/>
      <c r="G634" s="3"/>
      <c r="H634" s="3"/>
      <c r="I634" s="147"/>
      <c r="J634" s="3"/>
      <c r="K634" s="3"/>
      <c r="L634" s="146"/>
      <c r="M634" s="146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hidden="1" customHeight="1" spans="1:29">
      <c r="A635" s="3"/>
      <c r="B635" s="3"/>
      <c r="C635" s="4"/>
      <c r="D635" s="3"/>
      <c r="E635" s="3"/>
      <c r="F635" s="3"/>
      <c r="G635" s="3"/>
      <c r="H635" s="3"/>
      <c r="I635" s="147"/>
      <c r="J635" s="3"/>
      <c r="K635" s="3"/>
      <c r="L635" s="146"/>
      <c r="M635" s="146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hidden="1" customHeight="1" spans="1:29">
      <c r="A636" s="3"/>
      <c r="B636" s="3"/>
      <c r="C636" s="4"/>
      <c r="D636" s="3"/>
      <c r="E636" s="3"/>
      <c r="F636" s="3"/>
      <c r="G636" s="3"/>
      <c r="H636" s="3"/>
      <c r="I636" s="147"/>
      <c r="J636" s="3"/>
      <c r="K636" s="3"/>
      <c r="L636" s="146"/>
      <c r="M636" s="146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hidden="1" customHeight="1" spans="1:29">
      <c r="A637" s="3"/>
      <c r="B637" s="3"/>
      <c r="C637" s="4"/>
      <c r="D637" s="3"/>
      <c r="E637" s="3"/>
      <c r="F637" s="3"/>
      <c r="G637" s="3"/>
      <c r="H637" s="3"/>
      <c r="I637" s="147"/>
      <c r="J637" s="3"/>
      <c r="K637" s="3"/>
      <c r="L637" s="146"/>
      <c r="M637" s="146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hidden="1" customHeight="1" spans="1:29">
      <c r="A638" s="3"/>
      <c r="B638" s="3"/>
      <c r="C638" s="4"/>
      <c r="D638" s="3"/>
      <c r="E638" s="3"/>
      <c r="F638" s="3"/>
      <c r="G638" s="3"/>
      <c r="H638" s="3"/>
      <c r="I638" s="147"/>
      <c r="J638" s="3"/>
      <c r="K638" s="3"/>
      <c r="L638" s="146"/>
      <c r="M638" s="146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hidden="1" customHeight="1" spans="1:29">
      <c r="A639" s="3"/>
      <c r="B639" s="3"/>
      <c r="C639" s="4"/>
      <c r="D639" s="3"/>
      <c r="E639" s="3"/>
      <c r="F639" s="3"/>
      <c r="G639" s="3"/>
      <c r="H639" s="3"/>
      <c r="I639" s="147"/>
      <c r="J639" s="3"/>
      <c r="K639" s="3"/>
      <c r="L639" s="146"/>
      <c r="M639" s="146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hidden="1" customHeight="1" spans="1:29">
      <c r="A640" s="3"/>
      <c r="B640" s="3"/>
      <c r="C640" s="4"/>
      <c r="D640" s="3"/>
      <c r="E640" s="3"/>
      <c r="F640" s="3"/>
      <c r="G640" s="3"/>
      <c r="H640" s="3"/>
      <c r="I640" s="147"/>
      <c r="J640" s="3"/>
      <c r="K640" s="3"/>
      <c r="L640" s="146"/>
      <c r="M640" s="146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hidden="1" customHeight="1" spans="1:29">
      <c r="A641" s="3"/>
      <c r="B641" s="3"/>
      <c r="C641" s="4"/>
      <c r="D641" s="3"/>
      <c r="E641" s="3"/>
      <c r="F641" s="3"/>
      <c r="G641" s="3"/>
      <c r="H641" s="3"/>
      <c r="I641" s="147"/>
      <c r="J641" s="3"/>
      <c r="K641" s="3"/>
      <c r="L641" s="146"/>
      <c r="M641" s="146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hidden="1" customHeight="1" spans="1:29">
      <c r="A642" s="3"/>
      <c r="B642" s="3"/>
      <c r="C642" s="4"/>
      <c r="D642" s="3"/>
      <c r="E642" s="3"/>
      <c r="F642" s="3"/>
      <c r="G642" s="3"/>
      <c r="H642" s="3"/>
      <c r="I642" s="147"/>
      <c r="J642" s="3"/>
      <c r="K642" s="3"/>
      <c r="L642" s="146"/>
      <c r="M642" s="146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hidden="1" customHeight="1" spans="1:29">
      <c r="A643" s="3"/>
      <c r="B643" s="3"/>
      <c r="C643" s="4"/>
      <c r="D643" s="3"/>
      <c r="E643" s="3"/>
      <c r="F643" s="3"/>
      <c r="G643" s="3"/>
      <c r="H643" s="3"/>
      <c r="I643" s="147"/>
      <c r="J643" s="3"/>
      <c r="K643" s="3"/>
      <c r="L643" s="146"/>
      <c r="M643" s="146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hidden="1" customHeight="1" spans="1:29">
      <c r="A644" s="3"/>
      <c r="B644" s="3"/>
      <c r="C644" s="4"/>
      <c r="D644" s="3"/>
      <c r="E644" s="3"/>
      <c r="F644" s="3"/>
      <c r="G644" s="3"/>
      <c r="H644" s="3"/>
      <c r="I644" s="147"/>
      <c r="J644" s="3"/>
      <c r="K644" s="3"/>
      <c r="L644" s="146"/>
      <c r="M644" s="146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hidden="1" customHeight="1" spans="1:29">
      <c r="A645" s="3"/>
      <c r="B645" s="3"/>
      <c r="C645" s="4"/>
      <c r="D645" s="3"/>
      <c r="E645" s="3"/>
      <c r="F645" s="3"/>
      <c r="G645" s="3"/>
      <c r="H645" s="3"/>
      <c r="I645" s="147"/>
      <c r="J645" s="3"/>
      <c r="K645" s="3"/>
      <c r="L645" s="146"/>
      <c r="M645" s="146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hidden="1" customHeight="1" spans="1:29">
      <c r="A646" s="3"/>
      <c r="B646" s="3"/>
      <c r="C646" s="4"/>
      <c r="D646" s="3"/>
      <c r="E646" s="3"/>
      <c r="F646" s="3"/>
      <c r="G646" s="3"/>
      <c r="H646" s="3"/>
      <c r="I646" s="147"/>
      <c r="J646" s="3"/>
      <c r="K646" s="3"/>
      <c r="L646" s="146"/>
      <c r="M646" s="146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hidden="1" customHeight="1" spans="1:29">
      <c r="A647" s="3"/>
      <c r="B647" s="3"/>
      <c r="C647" s="4"/>
      <c r="D647" s="3"/>
      <c r="E647" s="3"/>
      <c r="F647" s="3"/>
      <c r="G647" s="3"/>
      <c r="H647" s="3"/>
      <c r="I647" s="145"/>
      <c r="J647" s="3"/>
      <c r="K647" s="3"/>
      <c r="L647" s="146"/>
      <c r="M647" s="146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hidden="1" customHeight="1" spans="1:29">
      <c r="A648" s="3"/>
      <c r="B648" s="3"/>
      <c r="C648" s="4"/>
      <c r="D648" s="3"/>
      <c r="E648" s="3"/>
      <c r="F648" s="3"/>
      <c r="G648" s="3"/>
      <c r="H648" s="3"/>
      <c r="I648" s="145"/>
      <c r="J648" s="3"/>
      <c r="K648" s="3"/>
      <c r="L648" s="146"/>
      <c r="M648" s="146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hidden="1" customHeight="1" spans="1:29">
      <c r="A649" s="3"/>
      <c r="B649" s="3"/>
      <c r="C649" s="4"/>
      <c r="D649" s="3"/>
      <c r="E649" s="3"/>
      <c r="F649" s="3"/>
      <c r="G649" s="3"/>
      <c r="H649" s="3"/>
      <c r="I649" s="145"/>
      <c r="J649" s="3"/>
      <c r="K649" s="3"/>
      <c r="L649" s="146"/>
      <c r="M649" s="146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hidden="1" customHeight="1" spans="1:29">
      <c r="A650" s="3"/>
      <c r="B650" s="3"/>
      <c r="C650" s="4"/>
      <c r="D650" s="3"/>
      <c r="E650" s="3"/>
      <c r="F650" s="3"/>
      <c r="G650" s="3"/>
      <c r="H650" s="3"/>
      <c r="I650" s="145"/>
      <c r="J650" s="3"/>
      <c r="K650" s="3"/>
      <c r="L650" s="146"/>
      <c r="M650" s="146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hidden="1" customHeight="1" spans="1:29">
      <c r="A651" s="3"/>
      <c r="B651" s="3"/>
      <c r="C651" s="4"/>
      <c r="D651" s="3"/>
      <c r="E651" s="3"/>
      <c r="F651" s="3"/>
      <c r="G651" s="3"/>
      <c r="H651" s="3"/>
      <c r="I651" s="145"/>
      <c r="J651" s="3"/>
      <c r="K651" s="3"/>
      <c r="L651" s="146"/>
      <c r="M651" s="146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hidden="1" customHeight="1" spans="1:29">
      <c r="A652" s="3"/>
      <c r="B652" s="3"/>
      <c r="C652" s="4"/>
      <c r="D652" s="3"/>
      <c r="E652" s="3"/>
      <c r="F652" s="3"/>
      <c r="G652" s="3"/>
      <c r="H652" s="3"/>
      <c r="I652" s="145"/>
      <c r="J652" s="3"/>
      <c r="K652" s="3"/>
      <c r="L652" s="146"/>
      <c r="M652" s="146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hidden="1" customHeight="1" spans="1:29">
      <c r="A653" s="3"/>
      <c r="B653" s="3"/>
      <c r="C653" s="4"/>
      <c r="D653" s="3"/>
      <c r="E653" s="3"/>
      <c r="F653" s="3"/>
      <c r="G653" s="3"/>
      <c r="H653" s="3"/>
      <c r="I653" s="145"/>
      <c r="J653" s="3"/>
      <c r="K653" s="3"/>
      <c r="L653" s="146"/>
      <c r="M653" s="146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hidden="1" customHeight="1" spans="1:29">
      <c r="A654" s="3"/>
      <c r="B654" s="3"/>
      <c r="C654" s="4"/>
      <c r="D654" s="3"/>
      <c r="E654" s="3"/>
      <c r="F654" s="3"/>
      <c r="G654" s="3"/>
      <c r="H654" s="3"/>
      <c r="I654" s="147"/>
      <c r="J654" s="3"/>
      <c r="K654" s="3"/>
      <c r="L654" s="146"/>
      <c r="M654" s="146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hidden="1" customHeight="1" spans="1:29">
      <c r="A655" s="3"/>
      <c r="B655" s="3"/>
      <c r="C655" s="4"/>
      <c r="D655" s="3"/>
      <c r="E655" s="3"/>
      <c r="F655" s="3"/>
      <c r="G655" s="3"/>
      <c r="H655" s="3"/>
      <c r="I655" s="147"/>
      <c r="J655" s="3"/>
      <c r="K655" s="3"/>
      <c r="L655" s="146"/>
      <c r="M655" s="146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hidden="1" customHeight="1" spans="1:29">
      <c r="A656" s="3"/>
      <c r="B656" s="3"/>
      <c r="C656" s="4"/>
      <c r="D656" s="3"/>
      <c r="E656" s="3"/>
      <c r="F656" s="3"/>
      <c r="G656" s="3"/>
      <c r="H656" s="3"/>
      <c r="I656" s="147"/>
      <c r="J656" s="3"/>
      <c r="K656" s="3"/>
      <c r="L656" s="146"/>
      <c r="M656" s="146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hidden="1" customHeight="1" spans="1:29">
      <c r="A657" s="3"/>
      <c r="B657" s="3"/>
      <c r="C657" s="4"/>
      <c r="D657" s="3"/>
      <c r="E657" s="3"/>
      <c r="F657" s="3"/>
      <c r="G657" s="3"/>
      <c r="H657" s="3"/>
      <c r="I657" s="147"/>
      <c r="J657" s="3"/>
      <c r="K657" s="3"/>
      <c r="L657" s="146"/>
      <c r="M657" s="146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hidden="1" customHeight="1" spans="1:29">
      <c r="A658" s="3"/>
      <c r="B658" s="3"/>
      <c r="C658" s="4"/>
      <c r="D658" s="3"/>
      <c r="E658" s="3"/>
      <c r="F658" s="3"/>
      <c r="G658" s="3"/>
      <c r="H658" s="3"/>
      <c r="I658" s="147"/>
      <c r="J658" s="3"/>
      <c r="K658" s="3"/>
      <c r="L658" s="146"/>
      <c r="M658" s="146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hidden="1" customHeight="1" spans="1:29">
      <c r="A659" s="3"/>
      <c r="B659" s="3"/>
      <c r="C659" s="4"/>
      <c r="D659" s="3"/>
      <c r="E659" s="3"/>
      <c r="F659" s="3"/>
      <c r="G659" s="3"/>
      <c r="H659" s="3"/>
      <c r="I659" s="145"/>
      <c r="J659" s="3"/>
      <c r="K659" s="3"/>
      <c r="L659" s="146"/>
      <c r="M659" s="146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hidden="1" customHeight="1" spans="1:29">
      <c r="A660" s="3"/>
      <c r="B660" s="3"/>
      <c r="C660" s="4"/>
      <c r="D660" s="3"/>
      <c r="E660" s="3"/>
      <c r="F660" s="3"/>
      <c r="G660" s="3"/>
      <c r="H660" s="3"/>
      <c r="I660" s="145"/>
      <c r="J660" s="3"/>
      <c r="K660" s="3"/>
      <c r="L660" s="146"/>
      <c r="M660" s="146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hidden="1" customHeight="1" spans="1:29">
      <c r="A661" s="3"/>
      <c r="B661" s="3"/>
      <c r="C661" s="4"/>
      <c r="D661" s="3"/>
      <c r="E661" s="3"/>
      <c r="F661" s="3"/>
      <c r="G661" s="3"/>
      <c r="H661" s="3"/>
      <c r="I661" s="145"/>
      <c r="J661" s="3"/>
      <c r="K661" s="3"/>
      <c r="L661" s="146"/>
      <c r="M661" s="146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hidden="1" customHeight="1" spans="1:29">
      <c r="A662" s="3"/>
      <c r="B662" s="3"/>
      <c r="C662" s="4"/>
      <c r="D662" s="3"/>
      <c r="E662" s="3"/>
      <c r="F662" s="3"/>
      <c r="G662" s="3"/>
      <c r="H662" s="3"/>
      <c r="I662" s="145"/>
      <c r="J662" s="3"/>
      <c r="K662" s="3"/>
      <c r="L662" s="146"/>
      <c r="M662" s="146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hidden="1" customHeight="1" spans="1:29">
      <c r="A663" s="3"/>
      <c r="B663" s="3"/>
      <c r="C663" s="4"/>
      <c r="D663" s="3"/>
      <c r="E663" s="3"/>
      <c r="F663" s="3"/>
      <c r="G663" s="3"/>
      <c r="H663" s="3"/>
      <c r="I663" s="145"/>
      <c r="J663" s="3"/>
      <c r="K663" s="3"/>
      <c r="L663" s="146"/>
      <c r="M663" s="146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hidden="1" customHeight="1" spans="1:29">
      <c r="A664" s="3"/>
      <c r="B664" s="3"/>
      <c r="C664" s="4"/>
      <c r="D664" s="3"/>
      <c r="E664" s="3"/>
      <c r="F664" s="3"/>
      <c r="G664" s="3"/>
      <c r="H664" s="3"/>
      <c r="I664" s="145"/>
      <c r="J664" s="3"/>
      <c r="K664" s="3"/>
      <c r="L664" s="146"/>
      <c r="M664" s="146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hidden="1" customHeight="1" spans="1:29">
      <c r="A665" s="3"/>
      <c r="B665" s="3"/>
      <c r="C665" s="4"/>
      <c r="D665" s="3"/>
      <c r="E665" s="3"/>
      <c r="F665" s="3"/>
      <c r="G665" s="3"/>
      <c r="H665" s="3"/>
      <c r="I665" s="147"/>
      <c r="J665" s="3"/>
      <c r="K665" s="3"/>
      <c r="L665" s="146"/>
      <c r="M665" s="146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hidden="1" customHeight="1" spans="1:29">
      <c r="A666" s="3"/>
      <c r="B666" s="3"/>
      <c r="C666" s="4"/>
      <c r="D666" s="3"/>
      <c r="E666" s="3"/>
      <c r="F666" s="3"/>
      <c r="G666" s="3"/>
      <c r="H666" s="3"/>
      <c r="I666" s="147"/>
      <c r="J666" s="3"/>
      <c r="K666" s="3"/>
      <c r="L666" s="146"/>
      <c r="M666" s="146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hidden="1" customHeight="1" spans="1:29">
      <c r="A667" s="3"/>
      <c r="B667" s="3"/>
      <c r="C667" s="4"/>
      <c r="D667" s="3"/>
      <c r="E667" s="3"/>
      <c r="F667" s="3"/>
      <c r="G667" s="3"/>
      <c r="H667" s="3"/>
      <c r="I667" s="147"/>
      <c r="J667" s="3"/>
      <c r="K667" s="3"/>
      <c r="L667" s="146"/>
      <c r="M667" s="146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hidden="1" customHeight="1" spans="1:29">
      <c r="A668" s="3"/>
      <c r="B668" s="3"/>
      <c r="C668" s="4"/>
      <c r="D668" s="3"/>
      <c r="E668" s="3"/>
      <c r="F668" s="3"/>
      <c r="G668" s="3"/>
      <c r="H668" s="3"/>
      <c r="I668" s="147"/>
      <c r="J668" s="3"/>
      <c r="K668" s="3"/>
      <c r="L668" s="146"/>
      <c r="M668" s="146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hidden="1" customHeight="1" spans="1:29">
      <c r="A669" s="3"/>
      <c r="B669" s="3"/>
      <c r="C669" s="4"/>
      <c r="D669" s="3"/>
      <c r="E669" s="3"/>
      <c r="F669" s="3"/>
      <c r="G669" s="3"/>
      <c r="H669" s="3"/>
      <c r="I669" s="147"/>
      <c r="J669" s="3"/>
      <c r="K669" s="3"/>
      <c r="L669" s="146"/>
      <c r="M669" s="146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hidden="1" customHeight="1" spans="1:29">
      <c r="A670" s="3"/>
      <c r="B670" s="3"/>
      <c r="C670" s="4"/>
      <c r="D670" s="3"/>
      <c r="E670" s="3"/>
      <c r="F670" s="3"/>
      <c r="G670" s="3"/>
      <c r="H670" s="3"/>
      <c r="I670" s="147"/>
      <c r="J670" s="3"/>
      <c r="K670" s="3"/>
      <c r="L670" s="146"/>
      <c r="M670" s="146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hidden="1" customHeight="1" spans="1:29">
      <c r="A671" s="3"/>
      <c r="B671" s="3"/>
      <c r="C671" s="4"/>
      <c r="D671" s="3"/>
      <c r="E671" s="3"/>
      <c r="F671" s="3"/>
      <c r="G671" s="3"/>
      <c r="H671" s="3"/>
      <c r="I671" s="147"/>
      <c r="J671" s="3"/>
      <c r="K671" s="3"/>
      <c r="L671" s="146"/>
      <c r="M671" s="146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hidden="1" customHeight="1" spans="1:29">
      <c r="A672" s="3"/>
      <c r="B672" s="3"/>
      <c r="C672" s="4"/>
      <c r="D672" s="3"/>
      <c r="E672" s="3"/>
      <c r="F672" s="3"/>
      <c r="G672" s="3"/>
      <c r="H672" s="3"/>
      <c r="I672" s="147"/>
      <c r="J672" s="3"/>
      <c r="K672" s="3"/>
      <c r="L672" s="146"/>
      <c r="M672" s="146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hidden="1" customHeight="1" spans="1:29">
      <c r="A673" s="3"/>
      <c r="B673" s="3"/>
      <c r="C673" s="4"/>
      <c r="D673" s="3"/>
      <c r="E673" s="3"/>
      <c r="F673" s="3"/>
      <c r="G673" s="3"/>
      <c r="H673" s="3"/>
      <c r="I673" s="147"/>
      <c r="J673" s="3"/>
      <c r="K673" s="3"/>
      <c r="L673" s="146"/>
      <c r="M673" s="146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hidden="1" customHeight="1" spans="1:29">
      <c r="A674" s="3"/>
      <c r="B674" s="3"/>
      <c r="C674" s="4"/>
      <c r="D674" s="3"/>
      <c r="E674" s="3"/>
      <c r="F674" s="3"/>
      <c r="G674" s="3"/>
      <c r="H674" s="3"/>
      <c r="I674" s="147"/>
      <c r="J674" s="3"/>
      <c r="K674" s="3"/>
      <c r="L674" s="146"/>
      <c r="M674" s="146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hidden="1" customHeight="1" spans="1:29">
      <c r="A675" s="3"/>
      <c r="B675" s="3"/>
      <c r="C675" s="4"/>
      <c r="D675" s="3"/>
      <c r="E675" s="3"/>
      <c r="F675" s="3"/>
      <c r="G675" s="3"/>
      <c r="H675" s="3"/>
      <c r="I675" s="147"/>
      <c r="J675" s="3"/>
      <c r="K675" s="3"/>
      <c r="L675" s="146"/>
      <c r="M675" s="146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hidden="1" customHeight="1" spans="1:29">
      <c r="A676" s="3"/>
      <c r="B676" s="3"/>
      <c r="C676" s="4"/>
      <c r="D676" s="3"/>
      <c r="E676" s="3"/>
      <c r="F676" s="3"/>
      <c r="G676" s="3"/>
      <c r="H676" s="3"/>
      <c r="I676" s="145"/>
      <c r="J676" s="3"/>
      <c r="K676" s="3"/>
      <c r="L676" s="146"/>
      <c r="M676" s="146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hidden="1" customHeight="1" spans="1:29">
      <c r="A677" s="3"/>
      <c r="B677" s="3"/>
      <c r="C677" s="4"/>
      <c r="D677" s="3"/>
      <c r="E677" s="3"/>
      <c r="F677" s="3"/>
      <c r="G677" s="3"/>
      <c r="H677" s="3"/>
      <c r="I677" s="147"/>
      <c r="J677" s="3"/>
      <c r="K677" s="3"/>
      <c r="L677" s="146"/>
      <c r="M677" s="146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hidden="1" customHeight="1" spans="1:29">
      <c r="A678" s="3"/>
      <c r="B678" s="3"/>
      <c r="C678" s="4"/>
      <c r="D678" s="3"/>
      <c r="E678" s="3"/>
      <c r="F678" s="3"/>
      <c r="G678" s="3"/>
      <c r="H678" s="3"/>
      <c r="I678" s="147"/>
      <c r="J678" s="3"/>
      <c r="K678" s="3"/>
      <c r="L678" s="146"/>
      <c r="M678" s="146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hidden="1" customHeight="1" spans="1:29">
      <c r="A679" s="3"/>
      <c r="B679" s="3"/>
      <c r="C679" s="4"/>
      <c r="D679" s="3"/>
      <c r="E679" s="3"/>
      <c r="F679" s="3"/>
      <c r="G679" s="3"/>
      <c r="H679" s="3"/>
      <c r="I679" s="145"/>
      <c r="J679" s="3"/>
      <c r="K679" s="3"/>
      <c r="L679" s="146"/>
      <c r="M679" s="146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hidden="1" customHeight="1" spans="1:29">
      <c r="A680" s="3"/>
      <c r="B680" s="3"/>
      <c r="C680" s="4"/>
      <c r="D680" s="3"/>
      <c r="E680" s="3"/>
      <c r="F680" s="3"/>
      <c r="G680" s="3"/>
      <c r="H680" s="3"/>
      <c r="I680" s="145"/>
      <c r="J680" s="3"/>
      <c r="K680" s="3"/>
      <c r="L680" s="146"/>
      <c r="M680" s="146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hidden="1" customHeight="1" spans="1:29">
      <c r="A681" s="3"/>
      <c r="B681" s="3"/>
      <c r="C681" s="4"/>
      <c r="D681" s="3"/>
      <c r="E681" s="3"/>
      <c r="F681" s="3"/>
      <c r="G681" s="3"/>
      <c r="H681" s="3"/>
      <c r="I681" s="147"/>
      <c r="J681" s="3"/>
      <c r="K681" s="3"/>
      <c r="L681" s="146"/>
      <c r="M681" s="146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hidden="1" customHeight="1" spans="1:29">
      <c r="A682" s="3"/>
      <c r="B682" s="3"/>
      <c r="C682" s="4"/>
      <c r="D682" s="3"/>
      <c r="E682" s="3"/>
      <c r="F682" s="3"/>
      <c r="G682" s="3"/>
      <c r="H682" s="3"/>
      <c r="I682" s="147"/>
      <c r="J682" s="3"/>
      <c r="K682" s="3"/>
      <c r="L682" s="146"/>
      <c r="M682" s="146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hidden="1" customHeight="1" spans="1:29">
      <c r="A683" s="3"/>
      <c r="B683" s="3"/>
      <c r="C683" s="4"/>
      <c r="D683" s="3"/>
      <c r="E683" s="3"/>
      <c r="F683" s="3"/>
      <c r="G683" s="3"/>
      <c r="H683" s="3"/>
      <c r="I683" s="147"/>
      <c r="J683" s="3"/>
      <c r="K683" s="3"/>
      <c r="L683" s="146"/>
      <c r="M683" s="146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hidden="1" customHeight="1" spans="1:29">
      <c r="A684" s="3"/>
      <c r="B684" s="3"/>
      <c r="C684" s="4"/>
      <c r="D684" s="3"/>
      <c r="E684" s="3"/>
      <c r="F684" s="3"/>
      <c r="G684" s="3"/>
      <c r="H684" s="3"/>
      <c r="I684" s="147"/>
      <c r="J684" s="3"/>
      <c r="K684" s="3"/>
      <c r="L684" s="146"/>
      <c r="M684" s="146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hidden="1" customHeight="1" spans="1:29">
      <c r="A685" s="3"/>
      <c r="B685" s="3"/>
      <c r="C685" s="4"/>
      <c r="D685" s="3"/>
      <c r="E685" s="3"/>
      <c r="F685" s="3"/>
      <c r="G685" s="3"/>
      <c r="H685" s="3"/>
      <c r="I685" s="147"/>
      <c r="J685" s="3"/>
      <c r="K685" s="3"/>
      <c r="L685" s="146"/>
      <c r="M685" s="146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hidden="1" customHeight="1" spans="1:29">
      <c r="A686" s="3"/>
      <c r="B686" s="3"/>
      <c r="C686" s="4"/>
      <c r="D686" s="3"/>
      <c r="E686" s="3"/>
      <c r="F686" s="3"/>
      <c r="G686" s="3"/>
      <c r="H686" s="3"/>
      <c r="I686" s="147"/>
      <c r="J686" s="3"/>
      <c r="K686" s="3"/>
      <c r="L686" s="146"/>
      <c r="M686" s="146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hidden="1" customHeight="1" spans="1:29">
      <c r="A687" s="3"/>
      <c r="B687" s="3"/>
      <c r="C687" s="4"/>
      <c r="D687" s="3"/>
      <c r="E687" s="3"/>
      <c r="F687" s="3"/>
      <c r="G687" s="3"/>
      <c r="H687" s="3"/>
      <c r="I687" s="147"/>
      <c r="J687" s="3"/>
      <c r="K687" s="3"/>
      <c r="L687" s="146"/>
      <c r="M687" s="146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hidden="1" customHeight="1" spans="1:29">
      <c r="A688" s="3"/>
      <c r="B688" s="3"/>
      <c r="C688" s="4"/>
      <c r="D688" s="3"/>
      <c r="E688" s="3"/>
      <c r="F688" s="3"/>
      <c r="G688" s="3"/>
      <c r="H688" s="3"/>
      <c r="I688" s="147"/>
      <c r="J688" s="3"/>
      <c r="K688" s="3"/>
      <c r="L688" s="146"/>
      <c r="M688" s="146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hidden="1" customHeight="1" spans="1:29">
      <c r="A689" s="3"/>
      <c r="B689" s="3"/>
      <c r="C689" s="4"/>
      <c r="D689" s="3"/>
      <c r="E689" s="3"/>
      <c r="F689" s="3"/>
      <c r="G689" s="3"/>
      <c r="H689" s="3"/>
      <c r="I689" s="147"/>
      <c r="J689" s="3"/>
      <c r="K689" s="3"/>
      <c r="L689" s="146"/>
      <c r="M689" s="146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hidden="1" customHeight="1" spans="1:29">
      <c r="A690" s="3"/>
      <c r="B690" s="3"/>
      <c r="C690" s="4"/>
      <c r="D690" s="3"/>
      <c r="E690" s="3"/>
      <c r="F690" s="3"/>
      <c r="G690" s="3"/>
      <c r="H690" s="3"/>
      <c r="I690" s="145"/>
      <c r="J690" s="3"/>
      <c r="K690" s="3"/>
      <c r="L690" s="146"/>
      <c r="M690" s="146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hidden="1" customHeight="1" spans="1:29">
      <c r="A691" s="3"/>
      <c r="B691" s="3"/>
      <c r="C691" s="4"/>
      <c r="D691" s="3"/>
      <c r="E691" s="3"/>
      <c r="F691" s="3"/>
      <c r="G691" s="3"/>
      <c r="H691" s="3"/>
      <c r="I691" s="147"/>
      <c r="J691" s="3"/>
      <c r="K691" s="3"/>
      <c r="L691" s="146"/>
      <c r="M691" s="146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hidden="1" customHeight="1" spans="1:29">
      <c r="A692" s="3"/>
      <c r="B692" s="3"/>
      <c r="C692" s="4"/>
      <c r="D692" s="3"/>
      <c r="E692" s="3"/>
      <c r="F692" s="3"/>
      <c r="G692" s="3"/>
      <c r="H692" s="3"/>
      <c r="I692" s="147"/>
      <c r="J692" s="3"/>
      <c r="K692" s="3"/>
      <c r="L692" s="146"/>
      <c r="M692" s="146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hidden="1" customHeight="1" spans="1:29">
      <c r="A693" s="3"/>
      <c r="B693" s="3"/>
      <c r="C693" s="4"/>
      <c r="D693" s="3"/>
      <c r="E693" s="3"/>
      <c r="F693" s="3"/>
      <c r="G693" s="3"/>
      <c r="H693" s="3"/>
      <c r="I693" s="147"/>
      <c r="J693" s="3"/>
      <c r="K693" s="3"/>
      <c r="L693" s="146"/>
      <c r="M693" s="146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hidden="1" customHeight="1" spans="1:29">
      <c r="A694" s="3"/>
      <c r="B694" s="3"/>
      <c r="C694" s="4"/>
      <c r="D694" s="3"/>
      <c r="E694" s="3"/>
      <c r="F694" s="3"/>
      <c r="G694" s="3"/>
      <c r="H694" s="3"/>
      <c r="I694" s="147"/>
      <c r="J694" s="3"/>
      <c r="K694" s="3"/>
      <c r="L694" s="146"/>
      <c r="M694" s="146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hidden="1" customHeight="1" spans="1:29">
      <c r="A695" s="3"/>
      <c r="B695" s="3"/>
      <c r="C695" s="4"/>
      <c r="D695" s="3"/>
      <c r="E695" s="3"/>
      <c r="F695" s="3"/>
      <c r="G695" s="3"/>
      <c r="H695" s="3"/>
      <c r="I695" s="147"/>
      <c r="J695" s="3"/>
      <c r="K695" s="3"/>
      <c r="L695" s="146"/>
      <c r="M695" s="146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hidden="1" customHeight="1" spans="1:29">
      <c r="A696" s="3"/>
      <c r="B696" s="3"/>
      <c r="C696" s="4"/>
      <c r="D696" s="3"/>
      <c r="E696" s="3"/>
      <c r="F696" s="3"/>
      <c r="G696" s="3"/>
      <c r="H696" s="3"/>
      <c r="I696" s="147"/>
      <c r="J696" s="3"/>
      <c r="K696" s="3"/>
      <c r="L696" s="146"/>
      <c r="M696" s="146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hidden="1" customHeight="1" spans="1:29">
      <c r="A697" s="3"/>
      <c r="B697" s="3"/>
      <c r="C697" s="4"/>
      <c r="D697" s="3"/>
      <c r="E697" s="3"/>
      <c r="F697" s="3"/>
      <c r="G697" s="3"/>
      <c r="H697" s="3"/>
      <c r="I697" s="147"/>
      <c r="J697" s="3"/>
      <c r="K697" s="3"/>
      <c r="L697" s="146"/>
      <c r="M697" s="146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hidden="1" customHeight="1" spans="1:29">
      <c r="A698" s="3"/>
      <c r="B698" s="3"/>
      <c r="C698" s="4"/>
      <c r="D698" s="3"/>
      <c r="E698" s="3"/>
      <c r="F698" s="3"/>
      <c r="G698" s="3"/>
      <c r="H698" s="3"/>
      <c r="I698" s="147"/>
      <c r="J698" s="3"/>
      <c r="K698" s="3"/>
      <c r="L698" s="146"/>
      <c r="M698" s="146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hidden="1" customHeight="1" spans="1:29">
      <c r="A699" s="3"/>
      <c r="B699" s="3"/>
      <c r="C699" s="4"/>
      <c r="D699" s="3"/>
      <c r="E699" s="3"/>
      <c r="F699" s="3"/>
      <c r="G699" s="3"/>
      <c r="H699" s="3"/>
      <c r="I699" s="147"/>
      <c r="J699" s="3"/>
      <c r="K699" s="3"/>
      <c r="L699" s="146"/>
      <c r="M699" s="146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hidden="1" customHeight="1" spans="1:29">
      <c r="A700" s="3"/>
      <c r="B700" s="3"/>
      <c r="C700" s="4"/>
      <c r="D700" s="3"/>
      <c r="E700" s="3"/>
      <c r="F700" s="3"/>
      <c r="G700" s="3"/>
      <c r="H700" s="3"/>
      <c r="I700" s="147"/>
      <c r="J700" s="3"/>
      <c r="K700" s="3"/>
      <c r="L700" s="146"/>
      <c r="M700" s="146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hidden="1" customHeight="1" spans="1:29">
      <c r="A701" s="3"/>
      <c r="B701" s="3"/>
      <c r="C701" s="4"/>
      <c r="D701" s="3"/>
      <c r="E701" s="3"/>
      <c r="F701" s="3"/>
      <c r="G701" s="3"/>
      <c r="H701" s="3"/>
      <c r="I701" s="147"/>
      <c r="J701" s="3"/>
      <c r="K701" s="3"/>
      <c r="L701" s="146"/>
      <c r="M701" s="146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hidden="1" customHeight="1" spans="1:29">
      <c r="A702" s="3"/>
      <c r="B702" s="3"/>
      <c r="C702" s="4"/>
      <c r="D702" s="3"/>
      <c r="E702" s="3"/>
      <c r="F702" s="3"/>
      <c r="G702" s="3"/>
      <c r="H702" s="3"/>
      <c r="I702" s="147"/>
      <c r="J702" s="3"/>
      <c r="K702" s="3"/>
      <c r="L702" s="146"/>
      <c r="M702" s="146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hidden="1" customHeight="1" spans="1:29">
      <c r="A703" s="3"/>
      <c r="B703" s="3"/>
      <c r="C703" s="4"/>
      <c r="D703" s="3"/>
      <c r="E703" s="3"/>
      <c r="F703" s="3"/>
      <c r="G703" s="3"/>
      <c r="H703" s="3"/>
      <c r="I703" s="147"/>
      <c r="J703" s="3"/>
      <c r="K703" s="3"/>
      <c r="L703" s="146"/>
      <c r="M703" s="146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hidden="1" customHeight="1" spans="1:29">
      <c r="A704" s="3"/>
      <c r="B704" s="3"/>
      <c r="C704" s="4"/>
      <c r="D704" s="3"/>
      <c r="E704" s="3"/>
      <c r="F704" s="3"/>
      <c r="G704" s="3"/>
      <c r="H704" s="3"/>
      <c r="I704" s="147"/>
      <c r="J704" s="3"/>
      <c r="K704" s="3"/>
      <c r="L704" s="146"/>
      <c r="M704" s="146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hidden="1" customHeight="1" spans="1:29">
      <c r="A705" s="3"/>
      <c r="B705" s="3"/>
      <c r="C705" s="4"/>
      <c r="D705" s="3"/>
      <c r="E705" s="3"/>
      <c r="F705" s="3"/>
      <c r="G705" s="3"/>
      <c r="H705" s="3"/>
      <c r="I705" s="145"/>
      <c r="J705" s="3"/>
      <c r="K705" s="3"/>
      <c r="L705" s="146"/>
      <c r="M705" s="146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hidden="1" customHeight="1" spans="1:29">
      <c r="A706" s="3"/>
      <c r="B706" s="3"/>
      <c r="C706" s="4"/>
      <c r="D706" s="3"/>
      <c r="E706" s="3"/>
      <c r="F706" s="3"/>
      <c r="G706" s="3"/>
      <c r="H706" s="3"/>
      <c r="I706" s="145"/>
      <c r="J706" s="3"/>
      <c r="K706" s="3"/>
      <c r="L706" s="146"/>
      <c r="M706" s="146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hidden="1" customHeight="1" spans="1:29">
      <c r="A707" s="3"/>
      <c r="B707" s="3"/>
      <c r="C707" s="4"/>
      <c r="D707" s="3"/>
      <c r="E707" s="3"/>
      <c r="F707" s="3"/>
      <c r="G707" s="3"/>
      <c r="H707" s="3"/>
      <c r="I707" s="145"/>
      <c r="J707" s="3"/>
      <c r="K707" s="3"/>
      <c r="L707" s="146"/>
      <c r="M707" s="146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hidden="1" customHeight="1" spans="1:29">
      <c r="A708" s="3"/>
      <c r="B708" s="3"/>
      <c r="C708" s="4"/>
      <c r="D708" s="3"/>
      <c r="E708" s="3"/>
      <c r="F708" s="3"/>
      <c r="G708" s="3"/>
      <c r="H708" s="3"/>
      <c r="I708" s="145"/>
      <c r="J708" s="3"/>
      <c r="K708" s="3"/>
      <c r="L708" s="146"/>
      <c r="M708" s="146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hidden="1" customHeight="1" spans="1:29">
      <c r="A709" s="3"/>
      <c r="B709" s="3"/>
      <c r="C709" s="4"/>
      <c r="D709" s="3"/>
      <c r="E709" s="3"/>
      <c r="F709" s="3"/>
      <c r="G709" s="3"/>
      <c r="H709" s="3"/>
      <c r="I709" s="145"/>
      <c r="J709" s="3"/>
      <c r="K709" s="3"/>
      <c r="L709" s="146"/>
      <c r="M709" s="146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hidden="1" customHeight="1" spans="1:29">
      <c r="A710" s="3"/>
      <c r="B710" s="3"/>
      <c r="C710" s="4"/>
      <c r="D710" s="3"/>
      <c r="E710" s="3"/>
      <c r="F710" s="3"/>
      <c r="G710" s="3"/>
      <c r="H710" s="3"/>
      <c r="I710" s="147"/>
      <c r="J710" s="3"/>
      <c r="K710" s="3"/>
      <c r="L710" s="146"/>
      <c r="M710" s="146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hidden="1" customHeight="1" spans="1:29">
      <c r="A711" s="3"/>
      <c r="B711" s="3"/>
      <c r="C711" s="4"/>
      <c r="D711" s="3"/>
      <c r="E711" s="3"/>
      <c r="F711" s="3"/>
      <c r="G711" s="3"/>
      <c r="H711" s="3"/>
      <c r="I711" s="147"/>
      <c r="J711" s="3"/>
      <c r="K711" s="3"/>
      <c r="L711" s="146"/>
      <c r="M711" s="146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hidden="1" customHeight="1" spans="1:29">
      <c r="A712" s="3"/>
      <c r="B712" s="3"/>
      <c r="C712" s="4"/>
      <c r="D712" s="3"/>
      <c r="E712" s="3"/>
      <c r="F712" s="3"/>
      <c r="G712" s="3"/>
      <c r="H712" s="3"/>
      <c r="I712" s="147"/>
      <c r="J712" s="3"/>
      <c r="K712" s="3"/>
      <c r="L712" s="146"/>
      <c r="M712" s="146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hidden="1" customHeight="1" spans="1:29">
      <c r="A713" s="3"/>
      <c r="B713" s="3"/>
      <c r="C713" s="4"/>
      <c r="D713" s="3"/>
      <c r="E713" s="3"/>
      <c r="F713" s="3"/>
      <c r="G713" s="3"/>
      <c r="H713" s="3"/>
      <c r="I713" s="147"/>
      <c r="J713" s="3"/>
      <c r="K713" s="3"/>
      <c r="L713" s="146"/>
      <c r="M713" s="146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hidden="1" customHeight="1" spans="1:29">
      <c r="A714" s="3"/>
      <c r="B714" s="3"/>
      <c r="C714" s="4"/>
      <c r="D714" s="3"/>
      <c r="E714" s="3"/>
      <c r="F714" s="3"/>
      <c r="G714" s="3"/>
      <c r="H714" s="3"/>
      <c r="I714" s="147"/>
      <c r="J714" s="3"/>
      <c r="K714" s="3"/>
      <c r="L714" s="146"/>
      <c r="M714" s="146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hidden="1" customHeight="1" spans="1:29">
      <c r="A715" s="3"/>
      <c r="B715" s="3"/>
      <c r="C715" s="4"/>
      <c r="D715" s="3"/>
      <c r="E715" s="3"/>
      <c r="F715" s="3"/>
      <c r="G715" s="3"/>
      <c r="H715" s="3"/>
      <c r="I715" s="147"/>
      <c r="J715" s="3"/>
      <c r="K715" s="3"/>
      <c r="L715" s="146"/>
      <c r="M715" s="146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hidden="1" customHeight="1" spans="1:29">
      <c r="A716" s="3"/>
      <c r="B716" s="3"/>
      <c r="C716" s="4"/>
      <c r="D716" s="3"/>
      <c r="E716" s="3"/>
      <c r="F716" s="3"/>
      <c r="G716" s="3"/>
      <c r="H716" s="3"/>
      <c r="I716" s="147"/>
      <c r="J716" s="3"/>
      <c r="K716" s="3"/>
      <c r="L716" s="146"/>
      <c r="M716" s="146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hidden="1" customHeight="1" spans="1:29">
      <c r="A717" s="3"/>
      <c r="B717" s="3"/>
      <c r="C717" s="4"/>
      <c r="D717" s="3"/>
      <c r="E717" s="3"/>
      <c r="F717" s="3"/>
      <c r="G717" s="3"/>
      <c r="H717" s="3"/>
      <c r="I717" s="147"/>
      <c r="J717" s="3"/>
      <c r="K717" s="3"/>
      <c r="L717" s="146"/>
      <c r="M717" s="146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hidden="1" customHeight="1" spans="1:29">
      <c r="A718" s="3"/>
      <c r="B718" s="3"/>
      <c r="C718" s="4"/>
      <c r="D718" s="3"/>
      <c r="E718" s="3"/>
      <c r="F718" s="3"/>
      <c r="G718" s="3"/>
      <c r="H718" s="3"/>
      <c r="I718" s="147"/>
      <c r="J718" s="3"/>
      <c r="K718" s="3"/>
      <c r="L718" s="146"/>
      <c r="M718" s="146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hidden="1" customHeight="1" spans="1:29">
      <c r="A719" s="3"/>
      <c r="B719" s="3"/>
      <c r="C719" s="4"/>
      <c r="D719" s="3"/>
      <c r="E719" s="3"/>
      <c r="F719" s="3"/>
      <c r="G719" s="3"/>
      <c r="H719" s="3"/>
      <c r="I719" s="147"/>
      <c r="J719" s="3"/>
      <c r="K719" s="3"/>
      <c r="L719" s="146"/>
      <c r="M719" s="146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hidden="1" customHeight="1" spans="1:29">
      <c r="A720" s="3"/>
      <c r="B720" s="3"/>
      <c r="C720" s="4"/>
      <c r="D720" s="3"/>
      <c r="E720" s="3"/>
      <c r="F720" s="3"/>
      <c r="G720" s="3"/>
      <c r="H720" s="3"/>
      <c r="I720" s="147"/>
      <c r="J720" s="3"/>
      <c r="K720" s="3"/>
      <c r="L720" s="146"/>
      <c r="M720" s="146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hidden="1" customHeight="1" spans="1:29">
      <c r="A721" s="3"/>
      <c r="B721" s="3"/>
      <c r="C721" s="4"/>
      <c r="D721" s="3"/>
      <c r="E721" s="3"/>
      <c r="F721" s="3"/>
      <c r="G721" s="3"/>
      <c r="H721" s="3"/>
      <c r="I721" s="145"/>
      <c r="J721" s="3"/>
      <c r="K721" s="3"/>
      <c r="L721" s="146"/>
      <c r="M721" s="146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hidden="1" customHeight="1" spans="1:29">
      <c r="A722" s="3"/>
      <c r="B722" s="3"/>
      <c r="C722" s="4"/>
      <c r="D722" s="3"/>
      <c r="E722" s="3"/>
      <c r="F722" s="3"/>
      <c r="G722" s="3"/>
      <c r="H722" s="3"/>
      <c r="I722" s="145"/>
      <c r="J722" s="3"/>
      <c r="K722" s="3"/>
      <c r="L722" s="146"/>
      <c r="M722" s="146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hidden="1" customHeight="1" spans="1:29">
      <c r="A723" s="3"/>
      <c r="B723" s="3"/>
      <c r="C723" s="4"/>
      <c r="D723" s="3"/>
      <c r="E723" s="3"/>
      <c r="F723" s="3"/>
      <c r="G723" s="3"/>
      <c r="H723" s="3"/>
      <c r="I723" s="145"/>
      <c r="J723" s="3"/>
      <c r="K723" s="3"/>
      <c r="L723" s="146"/>
      <c r="M723" s="146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hidden="1" customHeight="1" spans="1:29">
      <c r="A724" s="3"/>
      <c r="B724" s="3"/>
      <c r="C724" s="4"/>
      <c r="D724" s="3"/>
      <c r="E724" s="3"/>
      <c r="F724" s="3"/>
      <c r="G724" s="3"/>
      <c r="H724" s="3"/>
      <c r="I724" s="145"/>
      <c r="J724" s="3"/>
      <c r="K724" s="3"/>
      <c r="L724" s="146"/>
      <c r="M724" s="146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hidden="1" customHeight="1" spans="1:29">
      <c r="A725" s="3"/>
      <c r="B725" s="3"/>
      <c r="C725" s="4"/>
      <c r="D725" s="3"/>
      <c r="E725" s="3"/>
      <c r="F725" s="3"/>
      <c r="G725" s="3"/>
      <c r="H725" s="3"/>
      <c r="I725" s="147"/>
      <c r="J725" s="3"/>
      <c r="K725" s="3"/>
      <c r="L725" s="146"/>
      <c r="M725" s="146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hidden="1" customHeight="1" spans="1:29">
      <c r="A726" s="3"/>
      <c r="B726" s="3"/>
      <c r="C726" s="4"/>
      <c r="D726" s="3"/>
      <c r="E726" s="3"/>
      <c r="F726" s="3"/>
      <c r="G726" s="3"/>
      <c r="H726" s="3"/>
      <c r="I726" s="147"/>
      <c r="J726" s="3"/>
      <c r="K726" s="3"/>
      <c r="L726" s="146"/>
      <c r="M726" s="146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hidden="1" customHeight="1" spans="1:29">
      <c r="A727" s="3"/>
      <c r="B727" s="3"/>
      <c r="C727" s="4"/>
      <c r="D727" s="3"/>
      <c r="E727" s="3"/>
      <c r="F727" s="3"/>
      <c r="G727" s="3"/>
      <c r="H727" s="3"/>
      <c r="I727" s="145"/>
      <c r="J727" s="3"/>
      <c r="K727" s="3"/>
      <c r="L727" s="146"/>
      <c r="M727" s="146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hidden="1" customHeight="1" spans="1:29">
      <c r="A728" s="3"/>
      <c r="B728" s="3"/>
      <c r="C728" s="4"/>
      <c r="D728" s="3"/>
      <c r="E728" s="3"/>
      <c r="F728" s="3"/>
      <c r="G728" s="3"/>
      <c r="H728" s="3"/>
      <c r="I728" s="145"/>
      <c r="J728" s="3"/>
      <c r="K728" s="3"/>
      <c r="L728" s="146"/>
      <c r="M728" s="146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hidden="1" customHeight="1" spans="1:29">
      <c r="A729" s="3"/>
      <c r="B729" s="3"/>
      <c r="C729" s="4"/>
      <c r="D729" s="3"/>
      <c r="E729" s="3"/>
      <c r="F729" s="3"/>
      <c r="G729" s="3"/>
      <c r="H729" s="3"/>
      <c r="I729" s="147"/>
      <c r="J729" s="3"/>
      <c r="K729" s="3"/>
      <c r="L729" s="146"/>
      <c r="M729" s="146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hidden="1" customHeight="1" spans="1:29">
      <c r="A730" s="3"/>
      <c r="B730" s="3"/>
      <c r="C730" s="4"/>
      <c r="D730" s="3"/>
      <c r="E730" s="3"/>
      <c r="F730" s="3"/>
      <c r="G730" s="3"/>
      <c r="H730" s="3"/>
      <c r="I730" s="147"/>
      <c r="J730" s="3"/>
      <c r="K730" s="3"/>
      <c r="L730" s="146"/>
      <c r="M730" s="146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hidden="1" customHeight="1" spans="1:29">
      <c r="A731" s="3"/>
      <c r="B731" s="3"/>
      <c r="C731" s="4"/>
      <c r="D731" s="3"/>
      <c r="E731" s="3"/>
      <c r="F731" s="3"/>
      <c r="G731" s="3"/>
      <c r="H731" s="3"/>
      <c r="I731" s="147"/>
      <c r="J731" s="3"/>
      <c r="K731" s="3"/>
      <c r="L731" s="146"/>
      <c r="M731" s="146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hidden="1" customHeight="1" spans="1:29">
      <c r="A732" s="3"/>
      <c r="B732" s="3"/>
      <c r="C732" s="4"/>
      <c r="D732" s="3"/>
      <c r="E732" s="3"/>
      <c r="F732" s="3"/>
      <c r="G732" s="3"/>
      <c r="H732" s="3"/>
      <c r="I732" s="147"/>
      <c r="J732" s="3"/>
      <c r="K732" s="3"/>
      <c r="L732" s="146"/>
      <c r="M732" s="146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hidden="1" customHeight="1" spans="1:29">
      <c r="A733" s="3"/>
      <c r="B733" s="3"/>
      <c r="C733" s="4"/>
      <c r="D733" s="3"/>
      <c r="E733" s="3"/>
      <c r="F733" s="3"/>
      <c r="G733" s="3"/>
      <c r="H733" s="3"/>
      <c r="I733" s="147"/>
      <c r="J733" s="3"/>
      <c r="K733" s="3"/>
      <c r="L733" s="146"/>
      <c r="M733" s="146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hidden="1" customHeight="1" spans="1:29">
      <c r="A734" s="3"/>
      <c r="B734" s="3"/>
      <c r="C734" s="4"/>
      <c r="D734" s="3"/>
      <c r="E734" s="3"/>
      <c r="F734" s="3"/>
      <c r="G734" s="3"/>
      <c r="H734" s="3"/>
      <c r="I734" s="147"/>
      <c r="J734" s="3"/>
      <c r="K734" s="3"/>
      <c r="L734" s="146"/>
      <c r="M734" s="146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hidden="1" customHeight="1" spans="1:29">
      <c r="A735" s="3"/>
      <c r="B735" s="3"/>
      <c r="C735" s="4"/>
      <c r="D735" s="3"/>
      <c r="E735" s="3"/>
      <c r="F735" s="3"/>
      <c r="G735" s="3"/>
      <c r="H735" s="3"/>
      <c r="I735" s="147"/>
      <c r="J735" s="3"/>
      <c r="K735" s="3"/>
      <c r="L735" s="146"/>
      <c r="M735" s="146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hidden="1" customHeight="1" spans="1:29">
      <c r="A736" s="3"/>
      <c r="B736" s="3"/>
      <c r="C736" s="4"/>
      <c r="D736" s="3"/>
      <c r="E736" s="3"/>
      <c r="F736" s="3"/>
      <c r="G736" s="3"/>
      <c r="H736" s="3"/>
      <c r="I736" s="147"/>
      <c r="J736" s="3"/>
      <c r="K736" s="3"/>
      <c r="L736" s="146"/>
      <c r="M736" s="146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hidden="1" customHeight="1" spans="1:29">
      <c r="A737" s="3"/>
      <c r="B737" s="3"/>
      <c r="C737" s="4"/>
      <c r="D737" s="3"/>
      <c r="E737" s="3"/>
      <c r="F737" s="3"/>
      <c r="G737" s="3"/>
      <c r="H737" s="3"/>
      <c r="I737" s="147"/>
      <c r="J737" s="3"/>
      <c r="K737" s="3"/>
      <c r="L737" s="146"/>
      <c r="M737" s="146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hidden="1" customHeight="1" spans="1:29">
      <c r="A738" s="3"/>
      <c r="B738" s="3"/>
      <c r="C738" s="4"/>
      <c r="D738" s="3"/>
      <c r="E738" s="3"/>
      <c r="F738" s="3"/>
      <c r="G738" s="3"/>
      <c r="H738" s="3"/>
      <c r="I738" s="147"/>
      <c r="J738" s="3"/>
      <c r="K738" s="3"/>
      <c r="L738" s="146"/>
      <c r="M738" s="146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hidden="1" customHeight="1" spans="1:29">
      <c r="A739" s="3"/>
      <c r="B739" s="3"/>
      <c r="C739" s="4"/>
      <c r="D739" s="3"/>
      <c r="E739" s="3"/>
      <c r="F739" s="3"/>
      <c r="G739" s="3"/>
      <c r="H739" s="3"/>
      <c r="I739" s="147"/>
      <c r="J739" s="3"/>
      <c r="K739" s="3"/>
      <c r="L739" s="146"/>
      <c r="M739" s="146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hidden="1" customHeight="1" spans="1:29">
      <c r="A740" s="3"/>
      <c r="B740" s="3"/>
      <c r="C740" s="4"/>
      <c r="D740" s="3"/>
      <c r="E740" s="3"/>
      <c r="F740" s="3"/>
      <c r="G740" s="3"/>
      <c r="H740" s="3"/>
      <c r="I740" s="145"/>
      <c r="J740" s="3"/>
      <c r="K740" s="3"/>
      <c r="L740" s="146"/>
      <c r="M740" s="146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hidden="1" customHeight="1" spans="1:29">
      <c r="A741" s="3"/>
      <c r="B741" s="3"/>
      <c r="C741" s="4"/>
      <c r="D741" s="3"/>
      <c r="E741" s="3"/>
      <c r="F741" s="3"/>
      <c r="G741" s="3"/>
      <c r="H741" s="3"/>
      <c r="I741" s="145"/>
      <c r="J741" s="3"/>
      <c r="K741" s="3"/>
      <c r="L741" s="146"/>
      <c r="M741" s="146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hidden="1" customHeight="1" spans="1:29">
      <c r="A742" s="3"/>
      <c r="B742" s="3"/>
      <c r="C742" s="4"/>
      <c r="D742" s="3"/>
      <c r="E742" s="3"/>
      <c r="F742" s="3"/>
      <c r="G742" s="3"/>
      <c r="H742" s="3"/>
      <c r="I742" s="145"/>
      <c r="J742" s="3"/>
      <c r="K742" s="3"/>
      <c r="L742" s="146"/>
      <c r="M742" s="146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hidden="1" customHeight="1" spans="1:29">
      <c r="A743" s="3"/>
      <c r="B743" s="3"/>
      <c r="C743" s="4"/>
      <c r="D743" s="3"/>
      <c r="E743" s="3"/>
      <c r="F743" s="3"/>
      <c r="G743" s="3"/>
      <c r="H743" s="3"/>
      <c r="I743" s="147"/>
      <c r="J743" s="3"/>
      <c r="K743" s="3"/>
      <c r="L743" s="146"/>
      <c r="M743" s="146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hidden="1" customHeight="1" spans="1:29">
      <c r="A744" s="3"/>
      <c r="B744" s="3"/>
      <c r="C744" s="4"/>
      <c r="D744" s="3"/>
      <c r="E744" s="3"/>
      <c r="F744" s="3"/>
      <c r="G744" s="3"/>
      <c r="H744" s="3"/>
      <c r="I744" s="147"/>
      <c r="J744" s="3"/>
      <c r="K744" s="3"/>
      <c r="L744" s="146"/>
      <c r="M744" s="146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hidden="1" customHeight="1" spans="1:29">
      <c r="A745" s="3"/>
      <c r="B745" s="3"/>
      <c r="C745" s="4"/>
      <c r="D745" s="3"/>
      <c r="E745" s="3"/>
      <c r="F745" s="3"/>
      <c r="G745" s="3"/>
      <c r="H745" s="3"/>
      <c r="I745" s="147"/>
      <c r="J745" s="3"/>
      <c r="K745" s="3"/>
      <c r="L745" s="146"/>
      <c r="M745" s="146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hidden="1" customHeight="1" spans="1:29">
      <c r="A746" s="3"/>
      <c r="B746" s="3"/>
      <c r="C746" s="4"/>
      <c r="D746" s="3"/>
      <c r="E746" s="3"/>
      <c r="F746" s="3"/>
      <c r="G746" s="3"/>
      <c r="H746" s="3"/>
      <c r="I746" s="145"/>
      <c r="J746" s="3"/>
      <c r="K746" s="3"/>
      <c r="L746" s="146"/>
      <c r="M746" s="146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hidden="1" customHeight="1" spans="1:29">
      <c r="A747" s="3"/>
      <c r="B747" s="3"/>
      <c r="C747" s="4"/>
      <c r="D747" s="3"/>
      <c r="E747" s="3"/>
      <c r="F747" s="3"/>
      <c r="G747" s="3"/>
      <c r="H747" s="3"/>
      <c r="I747" s="147"/>
      <c r="J747" s="3"/>
      <c r="K747" s="3"/>
      <c r="L747" s="146"/>
      <c r="M747" s="146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hidden="1" customHeight="1" spans="1:29">
      <c r="A748" s="3"/>
      <c r="B748" s="3"/>
      <c r="C748" s="4"/>
      <c r="D748" s="3"/>
      <c r="E748" s="3"/>
      <c r="F748" s="3"/>
      <c r="G748" s="3"/>
      <c r="H748" s="3"/>
      <c r="I748" s="147"/>
      <c r="J748" s="3"/>
      <c r="K748" s="3"/>
      <c r="L748" s="146"/>
      <c r="M748" s="146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hidden="1" customHeight="1" spans="1:29">
      <c r="A749" s="3"/>
      <c r="B749" s="3"/>
      <c r="C749" s="4"/>
      <c r="D749" s="3"/>
      <c r="E749" s="3"/>
      <c r="F749" s="3"/>
      <c r="G749" s="3"/>
      <c r="H749" s="3"/>
      <c r="I749" s="147"/>
      <c r="J749" s="3"/>
      <c r="K749" s="3"/>
      <c r="L749" s="146"/>
      <c r="M749" s="146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hidden="1" customHeight="1" spans="1:29">
      <c r="A750" s="3"/>
      <c r="B750" s="3"/>
      <c r="C750" s="4"/>
      <c r="D750" s="3"/>
      <c r="E750" s="3"/>
      <c r="F750" s="3"/>
      <c r="G750" s="3"/>
      <c r="H750" s="3"/>
      <c r="I750" s="147"/>
      <c r="J750" s="3"/>
      <c r="K750" s="3"/>
      <c r="L750" s="146"/>
      <c r="M750" s="146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hidden="1" customHeight="1" spans="1:29">
      <c r="A751" s="3"/>
      <c r="B751" s="3"/>
      <c r="C751" s="4"/>
      <c r="D751" s="3"/>
      <c r="E751" s="3"/>
      <c r="F751" s="3"/>
      <c r="G751" s="3"/>
      <c r="H751" s="3"/>
      <c r="I751" s="147"/>
      <c r="J751" s="3"/>
      <c r="K751" s="3"/>
      <c r="L751" s="146"/>
      <c r="M751" s="146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hidden="1" customHeight="1" spans="1:29">
      <c r="A752" s="3"/>
      <c r="B752" s="3"/>
      <c r="C752" s="4"/>
      <c r="D752" s="3"/>
      <c r="E752" s="3"/>
      <c r="F752" s="3"/>
      <c r="G752" s="3"/>
      <c r="H752" s="3"/>
      <c r="I752" s="147"/>
      <c r="J752" s="3"/>
      <c r="K752" s="3"/>
      <c r="L752" s="146"/>
      <c r="M752" s="146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hidden="1" customHeight="1" spans="1:29">
      <c r="A753" s="3"/>
      <c r="B753" s="3"/>
      <c r="C753" s="4"/>
      <c r="D753" s="3"/>
      <c r="E753" s="3"/>
      <c r="F753" s="3"/>
      <c r="G753" s="3"/>
      <c r="H753" s="3"/>
      <c r="I753" s="147"/>
      <c r="J753" s="3"/>
      <c r="K753" s="3"/>
      <c r="L753" s="146"/>
      <c r="M753" s="146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hidden="1" customHeight="1" spans="1:29">
      <c r="A754" s="3"/>
      <c r="B754" s="3"/>
      <c r="C754" s="4"/>
      <c r="D754" s="3"/>
      <c r="E754" s="3"/>
      <c r="F754" s="3"/>
      <c r="G754" s="3"/>
      <c r="H754" s="3"/>
      <c r="I754" s="147"/>
      <c r="J754" s="3"/>
      <c r="K754" s="3"/>
      <c r="L754" s="146"/>
      <c r="M754" s="146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hidden="1" customHeight="1" spans="1:29">
      <c r="A755" s="3"/>
      <c r="B755" s="3"/>
      <c r="C755" s="4"/>
      <c r="D755" s="3"/>
      <c r="E755" s="3"/>
      <c r="F755" s="3"/>
      <c r="G755" s="3"/>
      <c r="H755" s="3"/>
      <c r="I755" s="3"/>
      <c r="J755" s="145"/>
      <c r="K755" s="3"/>
      <c r="L755" s="3"/>
      <c r="M755" s="146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hidden="1" customHeight="1" spans="1:29">
      <c r="A756" s="3"/>
      <c r="B756" s="3"/>
      <c r="C756" s="4"/>
      <c r="D756" s="3"/>
      <c r="E756" s="3"/>
      <c r="F756" s="3"/>
      <c r="G756" s="3"/>
      <c r="H756" s="3"/>
      <c r="I756" s="3"/>
      <c r="J756" s="145"/>
      <c r="K756" s="3"/>
      <c r="L756" s="3"/>
      <c r="M756" s="146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hidden="1" customHeight="1" spans="1:29">
      <c r="A757" s="3"/>
      <c r="B757" s="3"/>
      <c r="C757" s="4"/>
      <c r="D757" s="3"/>
      <c r="E757" s="3"/>
      <c r="F757" s="3"/>
      <c r="G757" s="3"/>
      <c r="H757" s="3"/>
      <c r="I757" s="3"/>
      <c r="J757" s="145"/>
      <c r="K757" s="3"/>
      <c r="L757" s="3"/>
      <c r="M757" s="146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hidden="1" customHeight="1" spans="1:29">
      <c r="A758" s="3"/>
      <c r="B758" s="3"/>
      <c r="C758" s="4"/>
      <c r="D758" s="3"/>
      <c r="E758" s="3"/>
      <c r="F758" s="3"/>
      <c r="G758" s="3"/>
      <c r="H758" s="3"/>
      <c r="I758" s="3"/>
      <c r="J758" s="145"/>
      <c r="K758" s="3"/>
      <c r="L758" s="3"/>
      <c r="M758" s="146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hidden="1" customHeight="1" spans="1:29">
      <c r="A759" s="3"/>
      <c r="B759" s="3"/>
      <c r="C759" s="4"/>
      <c r="D759" s="3"/>
      <c r="E759" s="3"/>
      <c r="F759" s="3"/>
      <c r="G759" s="3"/>
      <c r="H759" s="3"/>
      <c r="I759" s="3"/>
      <c r="J759" s="145"/>
      <c r="K759" s="3"/>
      <c r="L759" s="3"/>
      <c r="M759" s="146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hidden="1" customHeight="1" spans="1:29">
      <c r="A760" s="3"/>
      <c r="B760" s="3"/>
      <c r="C760" s="4"/>
      <c r="D760" s="3"/>
      <c r="E760" s="3"/>
      <c r="F760" s="3"/>
      <c r="G760" s="3"/>
      <c r="H760" s="3"/>
      <c r="I760" s="3"/>
      <c r="J760" s="145"/>
      <c r="K760" s="3"/>
      <c r="L760" s="3"/>
      <c r="M760" s="146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hidden="1" customHeight="1" spans="1:29">
      <c r="A761" s="3"/>
      <c r="B761" s="3"/>
      <c r="C761" s="4"/>
      <c r="D761" s="3"/>
      <c r="E761" s="3"/>
      <c r="F761" s="3"/>
      <c r="G761" s="3"/>
      <c r="H761" s="3"/>
      <c r="I761" s="3"/>
      <c r="J761" s="145"/>
      <c r="K761" s="3"/>
      <c r="L761" s="3"/>
      <c r="M761" s="146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hidden="1" customHeight="1" spans="1:29">
      <c r="A762" s="3"/>
      <c r="B762" s="3"/>
      <c r="C762" s="4"/>
      <c r="D762" s="3"/>
      <c r="E762" s="3"/>
      <c r="F762" s="3"/>
      <c r="G762" s="3"/>
      <c r="H762" s="3"/>
      <c r="I762" s="3"/>
      <c r="J762" s="145"/>
      <c r="K762" s="3"/>
      <c r="L762" s="3"/>
      <c r="M762" s="146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hidden="1" customHeight="1" spans="1:29">
      <c r="A763" s="3"/>
      <c r="B763" s="3"/>
      <c r="C763" s="4"/>
      <c r="D763" s="3"/>
      <c r="E763" s="3"/>
      <c r="F763" s="3"/>
      <c r="G763" s="3"/>
      <c r="H763" s="3"/>
      <c r="I763" s="3"/>
      <c r="J763" s="145"/>
      <c r="K763" s="3"/>
      <c r="L763" s="3"/>
      <c r="M763" s="146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hidden="1" customHeight="1" spans="1:29">
      <c r="A764" s="3"/>
      <c r="B764" s="3"/>
      <c r="C764" s="4"/>
      <c r="D764" s="3"/>
      <c r="E764" s="3"/>
      <c r="F764" s="3"/>
      <c r="G764" s="3"/>
      <c r="H764" s="3"/>
      <c r="I764" s="3"/>
      <c r="J764" s="145"/>
      <c r="K764" s="3"/>
      <c r="L764" s="3"/>
      <c r="M764" s="146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hidden="1" customHeight="1" spans="1:29">
      <c r="A765" s="3"/>
      <c r="B765" s="3"/>
      <c r="C765" s="4"/>
      <c r="D765" s="3"/>
      <c r="E765" s="3"/>
      <c r="F765" s="3"/>
      <c r="G765" s="3"/>
      <c r="H765" s="3"/>
      <c r="I765" s="3"/>
      <c r="J765" s="145"/>
      <c r="K765" s="3"/>
      <c r="L765" s="3"/>
      <c r="M765" s="146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hidden="1" customHeight="1" spans="1:29">
      <c r="A766" s="3"/>
      <c r="B766" s="3"/>
      <c r="C766" s="4"/>
      <c r="D766" s="3"/>
      <c r="E766" s="3"/>
      <c r="F766" s="3"/>
      <c r="G766" s="3"/>
      <c r="H766" s="3"/>
      <c r="I766" s="3"/>
      <c r="J766" s="147"/>
      <c r="K766" s="3"/>
      <c r="L766" s="3"/>
      <c r="M766" s="146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hidden="1" customHeight="1" spans="1:29">
      <c r="A767" s="3"/>
      <c r="B767" s="3"/>
      <c r="C767" s="4"/>
      <c r="D767" s="3"/>
      <c r="E767" s="3"/>
      <c r="F767" s="3"/>
      <c r="G767" s="3"/>
      <c r="H767" s="3"/>
      <c r="I767" s="3"/>
      <c r="J767" s="147"/>
      <c r="K767" s="3"/>
      <c r="L767" s="3"/>
      <c r="M767" s="146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hidden="1" customHeight="1" spans="1:29">
      <c r="A768" s="3"/>
      <c r="B768" s="3"/>
      <c r="C768" s="4"/>
      <c r="D768" s="3"/>
      <c r="E768" s="3"/>
      <c r="F768" s="3"/>
      <c r="G768" s="3"/>
      <c r="H768" s="3"/>
      <c r="I768" s="3"/>
      <c r="J768" s="147"/>
      <c r="K768" s="3"/>
      <c r="L768" s="3"/>
      <c r="M768" s="146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hidden="1" customHeight="1" spans="1:29">
      <c r="A769" s="3"/>
      <c r="B769" s="3"/>
      <c r="C769" s="4"/>
      <c r="D769" s="3"/>
      <c r="E769" s="3"/>
      <c r="F769" s="3"/>
      <c r="G769" s="3"/>
      <c r="H769" s="3"/>
      <c r="I769" s="3"/>
      <c r="J769" s="147"/>
      <c r="K769" s="3"/>
      <c r="L769" s="3"/>
      <c r="M769" s="146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hidden="1" customHeight="1" spans="1:29">
      <c r="A770" s="3"/>
      <c r="B770" s="3"/>
      <c r="C770" s="4"/>
      <c r="D770" s="3"/>
      <c r="E770" s="3"/>
      <c r="F770" s="3"/>
      <c r="G770" s="3"/>
      <c r="H770" s="3"/>
      <c r="I770" s="3"/>
      <c r="J770" s="147"/>
      <c r="K770" s="3"/>
      <c r="L770" s="3"/>
      <c r="M770" s="146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hidden="1" customHeight="1" spans="1:29">
      <c r="A771" s="3"/>
      <c r="B771" s="3"/>
      <c r="C771" s="4"/>
      <c r="D771" s="3"/>
      <c r="E771" s="3"/>
      <c r="F771" s="3"/>
      <c r="G771" s="3"/>
      <c r="H771" s="3"/>
      <c r="I771" s="3"/>
      <c r="J771" s="147"/>
      <c r="K771" s="3"/>
      <c r="L771" s="3"/>
      <c r="M771" s="146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hidden="1" customHeight="1" spans="1:29">
      <c r="A772" s="3"/>
      <c r="B772" s="3"/>
      <c r="C772" s="4"/>
      <c r="D772" s="3"/>
      <c r="E772" s="3"/>
      <c r="F772" s="3"/>
      <c r="G772" s="3"/>
      <c r="H772" s="3"/>
      <c r="I772" s="3"/>
      <c r="J772" s="145"/>
      <c r="K772" s="3"/>
      <c r="L772" s="3"/>
      <c r="M772" s="146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hidden="1" customHeight="1" spans="1:29">
      <c r="A773" s="3"/>
      <c r="B773" s="3"/>
      <c r="C773" s="4"/>
      <c r="D773" s="3"/>
      <c r="E773" s="3"/>
      <c r="F773" s="3"/>
      <c r="G773" s="3"/>
      <c r="H773" s="3"/>
      <c r="I773" s="3"/>
      <c r="J773" s="147"/>
      <c r="K773" s="3"/>
      <c r="L773" s="3"/>
      <c r="M773" s="146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hidden="1" customHeight="1" spans="1:29">
      <c r="A774" s="3"/>
      <c r="B774" s="3"/>
      <c r="C774" s="4"/>
      <c r="D774" s="3"/>
      <c r="E774" s="3"/>
      <c r="F774" s="3"/>
      <c r="G774" s="3"/>
      <c r="H774" s="3"/>
      <c r="I774" s="3"/>
      <c r="J774" s="147"/>
      <c r="K774" s="3"/>
      <c r="L774" s="3"/>
      <c r="M774" s="146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hidden="1" customHeight="1" spans="1:29">
      <c r="A775" s="3"/>
      <c r="B775" s="3"/>
      <c r="C775" s="4"/>
      <c r="D775" s="3"/>
      <c r="E775" s="3"/>
      <c r="F775" s="3"/>
      <c r="G775" s="3"/>
      <c r="H775" s="3"/>
      <c r="I775" s="3"/>
      <c r="J775" s="147"/>
      <c r="K775" s="3"/>
      <c r="L775" s="3"/>
      <c r="M775" s="146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hidden="1" customHeight="1" spans="1:29">
      <c r="A776" s="3"/>
      <c r="B776" s="3"/>
      <c r="C776" s="4"/>
      <c r="D776" s="3"/>
      <c r="E776" s="3"/>
      <c r="F776" s="3"/>
      <c r="G776" s="3"/>
      <c r="H776" s="3"/>
      <c r="I776" s="3"/>
      <c r="J776" s="147"/>
      <c r="K776" s="3"/>
      <c r="L776" s="3"/>
      <c r="M776" s="146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hidden="1" customHeight="1" spans="1:29">
      <c r="A777" s="3"/>
      <c r="B777" s="3"/>
      <c r="C777" s="4"/>
      <c r="D777" s="3"/>
      <c r="E777" s="3"/>
      <c r="F777" s="3"/>
      <c r="G777" s="3"/>
      <c r="H777" s="3"/>
      <c r="I777" s="3"/>
      <c r="J777" s="147"/>
      <c r="K777" s="3"/>
      <c r="L777" s="3"/>
      <c r="M777" s="146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hidden="1" customHeight="1" spans="1:29">
      <c r="A778" s="3"/>
      <c r="B778" s="3"/>
      <c r="C778" s="4"/>
      <c r="D778" s="3"/>
      <c r="E778" s="3"/>
      <c r="F778" s="3"/>
      <c r="G778" s="3"/>
      <c r="H778" s="3"/>
      <c r="I778" s="3"/>
      <c r="J778" s="147"/>
      <c r="K778" s="3"/>
      <c r="L778" s="3"/>
      <c r="M778" s="146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hidden="1" customHeight="1" spans="1:29">
      <c r="A779" s="3"/>
      <c r="B779" s="3"/>
      <c r="C779" s="4"/>
      <c r="D779" s="3"/>
      <c r="E779" s="3"/>
      <c r="F779" s="3"/>
      <c r="G779" s="3"/>
      <c r="H779" s="3"/>
      <c r="I779" s="3"/>
      <c r="J779" s="147"/>
      <c r="K779" s="3"/>
      <c r="L779" s="3"/>
      <c r="M779" s="146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hidden="1" customHeight="1" spans="1:29">
      <c r="A780" s="3"/>
      <c r="B780" s="3"/>
      <c r="C780" s="4"/>
      <c r="D780" s="3"/>
      <c r="E780" s="3"/>
      <c r="F780" s="3"/>
      <c r="G780" s="3"/>
      <c r="H780" s="3"/>
      <c r="I780" s="3"/>
      <c r="J780" s="145"/>
      <c r="K780" s="3"/>
      <c r="L780" s="3"/>
      <c r="M780" s="146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hidden="1" customHeight="1" spans="1:29">
      <c r="A781" s="3"/>
      <c r="B781" s="3"/>
      <c r="C781" s="4"/>
      <c r="D781" s="3"/>
      <c r="E781" s="3"/>
      <c r="F781" s="3"/>
      <c r="G781" s="3"/>
      <c r="H781" s="3"/>
      <c r="I781" s="3"/>
      <c r="J781" s="145"/>
      <c r="K781" s="3"/>
      <c r="L781" s="3"/>
      <c r="M781" s="146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hidden="1" customHeight="1" spans="1:29">
      <c r="A782" s="3"/>
      <c r="B782" s="3"/>
      <c r="C782" s="4"/>
      <c r="D782" s="3"/>
      <c r="E782" s="3"/>
      <c r="F782" s="3"/>
      <c r="G782" s="3"/>
      <c r="H782" s="3"/>
      <c r="I782" s="3"/>
      <c r="J782" s="145"/>
      <c r="K782" s="3"/>
      <c r="L782" s="3"/>
      <c r="M782" s="146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hidden="1" customHeight="1" spans="1:29">
      <c r="A783" s="3"/>
      <c r="B783" s="3"/>
      <c r="C783" s="4"/>
      <c r="D783" s="3"/>
      <c r="E783" s="3"/>
      <c r="F783" s="3"/>
      <c r="G783" s="3"/>
      <c r="H783" s="3"/>
      <c r="I783" s="3"/>
      <c r="J783" s="145"/>
      <c r="K783" s="3"/>
      <c r="L783" s="3"/>
      <c r="M783" s="146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hidden="1" customHeight="1" spans="1:29">
      <c r="A784" s="3"/>
      <c r="B784" s="3"/>
      <c r="C784" s="4"/>
      <c r="D784" s="3"/>
      <c r="E784" s="3"/>
      <c r="F784" s="3"/>
      <c r="G784" s="3"/>
      <c r="H784" s="3"/>
      <c r="I784" s="3"/>
      <c r="J784" s="145"/>
      <c r="K784" s="3"/>
      <c r="L784" s="3"/>
      <c r="M784" s="146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hidden="1" customHeight="1" spans="1:29">
      <c r="A785" s="3"/>
      <c r="B785" s="3"/>
      <c r="C785" s="4"/>
      <c r="D785" s="3"/>
      <c r="E785" s="3"/>
      <c r="F785" s="3"/>
      <c r="G785" s="3"/>
      <c r="H785" s="3"/>
      <c r="I785" s="3"/>
      <c r="J785" s="147"/>
      <c r="K785" s="3"/>
      <c r="L785" s="3"/>
      <c r="M785" s="146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hidden="1" customHeight="1" spans="1:29">
      <c r="A786" s="3"/>
      <c r="B786" s="3"/>
      <c r="C786" s="4"/>
      <c r="D786" s="3"/>
      <c r="E786" s="3"/>
      <c r="F786" s="3"/>
      <c r="G786" s="3"/>
      <c r="H786" s="3"/>
      <c r="I786" s="3"/>
      <c r="J786" s="147"/>
      <c r="K786" s="3"/>
      <c r="L786" s="3"/>
      <c r="M786" s="146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hidden="1" customHeight="1" spans="1:29">
      <c r="A787" s="3"/>
      <c r="B787" s="3"/>
      <c r="C787" s="4"/>
      <c r="D787" s="3"/>
      <c r="E787" s="3"/>
      <c r="F787" s="3"/>
      <c r="G787" s="3"/>
      <c r="H787" s="3"/>
      <c r="I787" s="3"/>
      <c r="J787" s="147"/>
      <c r="K787" s="3"/>
      <c r="L787" s="3"/>
      <c r="M787" s="146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hidden="1" customHeight="1" spans="1:29">
      <c r="A788" s="3"/>
      <c r="B788" s="3"/>
      <c r="C788" s="4"/>
      <c r="D788" s="3"/>
      <c r="E788" s="3"/>
      <c r="F788" s="3"/>
      <c r="G788" s="3"/>
      <c r="H788" s="3"/>
      <c r="I788" s="3"/>
      <c r="J788" s="147"/>
      <c r="K788" s="3"/>
      <c r="L788" s="3"/>
      <c r="M788" s="146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hidden="1" customHeight="1" spans="1:29">
      <c r="A789" s="3"/>
      <c r="B789" s="3"/>
      <c r="C789" s="4"/>
      <c r="D789" s="3"/>
      <c r="E789" s="3"/>
      <c r="F789" s="3"/>
      <c r="G789" s="3"/>
      <c r="H789" s="3"/>
      <c r="I789" s="3"/>
      <c r="J789" s="147"/>
      <c r="K789" s="3"/>
      <c r="L789" s="3"/>
      <c r="M789" s="146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hidden="1" customHeight="1" spans="1:29">
      <c r="A790" s="3"/>
      <c r="B790" s="3"/>
      <c r="C790" s="4"/>
      <c r="D790" s="3"/>
      <c r="E790" s="3"/>
      <c r="F790" s="3"/>
      <c r="G790" s="3"/>
      <c r="H790" s="3"/>
      <c r="I790" s="3"/>
      <c r="J790" s="147"/>
      <c r="K790" s="3"/>
      <c r="L790" s="3"/>
      <c r="M790" s="146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hidden="1" customHeight="1" spans="1:29">
      <c r="A791" s="3"/>
      <c r="B791" s="3"/>
      <c r="C791" s="4"/>
      <c r="D791" s="3"/>
      <c r="E791" s="3"/>
      <c r="F791" s="3"/>
      <c r="G791" s="3"/>
      <c r="H791" s="3"/>
      <c r="I791" s="3"/>
      <c r="J791" s="147"/>
      <c r="K791" s="3"/>
      <c r="L791" s="3"/>
      <c r="M791" s="146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hidden="1" customHeight="1" spans="1:29">
      <c r="A792" s="3"/>
      <c r="B792" s="3"/>
      <c r="C792" s="4"/>
      <c r="D792" s="3"/>
      <c r="E792" s="3"/>
      <c r="F792" s="3"/>
      <c r="G792" s="3"/>
      <c r="H792" s="3"/>
      <c r="I792" s="3"/>
      <c r="J792" s="147"/>
      <c r="K792" s="3"/>
      <c r="L792" s="3"/>
      <c r="M792" s="146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hidden="1" customHeight="1" spans="1:29">
      <c r="A793" s="3"/>
      <c r="B793" s="3"/>
      <c r="C793" s="4"/>
      <c r="D793" s="3"/>
      <c r="E793" s="3"/>
      <c r="F793" s="3"/>
      <c r="G793" s="3"/>
      <c r="H793" s="3"/>
      <c r="I793" s="3"/>
      <c r="J793" s="147"/>
      <c r="K793" s="3"/>
      <c r="L793" s="3"/>
      <c r="M793" s="146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hidden="1" customHeight="1" spans="1:29">
      <c r="A794" s="3"/>
      <c r="B794" s="3"/>
      <c r="C794" s="4"/>
      <c r="D794" s="3"/>
      <c r="E794" s="3"/>
      <c r="F794" s="3"/>
      <c r="G794" s="3"/>
      <c r="H794" s="3"/>
      <c r="I794" s="3"/>
      <c r="J794" s="147"/>
      <c r="K794" s="3"/>
      <c r="L794" s="3"/>
      <c r="M794" s="146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hidden="1" customHeight="1" spans="1:29">
      <c r="A795" s="3"/>
      <c r="B795" s="3"/>
      <c r="C795" s="4"/>
      <c r="D795" s="3"/>
      <c r="E795" s="3"/>
      <c r="F795" s="3"/>
      <c r="G795" s="3"/>
      <c r="H795" s="3"/>
      <c r="I795" s="3"/>
      <c r="J795" s="147"/>
      <c r="K795" s="3"/>
      <c r="L795" s="3"/>
      <c r="M795" s="146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hidden="1" customHeight="1" spans="1:29">
      <c r="A796" s="3"/>
      <c r="B796" s="3"/>
      <c r="C796" s="4"/>
      <c r="D796" s="3"/>
      <c r="E796" s="3"/>
      <c r="F796" s="3"/>
      <c r="G796" s="3"/>
      <c r="H796" s="3"/>
      <c r="I796" s="3"/>
      <c r="J796" s="147"/>
      <c r="K796" s="3"/>
      <c r="L796" s="3"/>
      <c r="M796" s="146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hidden="1" customHeight="1" spans="1:29">
      <c r="A797" s="3"/>
      <c r="B797" s="3"/>
      <c r="C797" s="4"/>
      <c r="D797" s="3"/>
      <c r="E797" s="3"/>
      <c r="F797" s="3"/>
      <c r="G797" s="3"/>
      <c r="H797" s="3"/>
      <c r="I797" s="3"/>
      <c r="J797" s="145"/>
      <c r="K797" s="3"/>
      <c r="L797" s="3"/>
      <c r="M797" s="146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hidden="1" customHeight="1" spans="1:29">
      <c r="A798" s="3"/>
      <c r="B798" s="3"/>
      <c r="C798" s="4"/>
      <c r="D798" s="3"/>
      <c r="E798" s="3"/>
      <c r="F798" s="3"/>
      <c r="G798" s="3"/>
      <c r="H798" s="3"/>
      <c r="I798" s="3"/>
      <c r="J798" s="147"/>
      <c r="K798" s="3"/>
      <c r="L798" s="3"/>
      <c r="M798" s="146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hidden="1" customHeight="1" spans="1:29">
      <c r="A799" s="3"/>
      <c r="B799" s="3"/>
      <c r="C799" s="4"/>
      <c r="D799" s="3"/>
      <c r="E799" s="3"/>
      <c r="F799" s="3"/>
      <c r="G799" s="3"/>
      <c r="H799" s="3"/>
      <c r="I799" s="3"/>
      <c r="J799" s="147"/>
      <c r="K799" s="3"/>
      <c r="L799" s="3"/>
      <c r="M799" s="146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hidden="1" customHeight="1" spans="1:29">
      <c r="A800" s="3"/>
      <c r="B800" s="3"/>
      <c r="C800" s="4"/>
      <c r="D800" s="3"/>
      <c r="E800" s="3"/>
      <c r="F800" s="3"/>
      <c r="G800" s="3"/>
      <c r="H800" s="3"/>
      <c r="I800" s="3"/>
      <c r="J800" s="147"/>
      <c r="K800" s="3"/>
      <c r="L800" s="3"/>
      <c r="M800" s="146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hidden="1" customHeight="1" spans="1:29">
      <c r="A801" s="3"/>
      <c r="B801" s="3"/>
      <c r="C801" s="4"/>
      <c r="D801" s="3"/>
      <c r="E801" s="3"/>
      <c r="F801" s="3"/>
      <c r="G801" s="3"/>
      <c r="H801" s="3"/>
      <c r="I801" s="3"/>
      <c r="J801" s="147"/>
      <c r="K801" s="3"/>
      <c r="L801" s="3"/>
      <c r="M801" s="146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hidden="1" customHeight="1" spans="1:29">
      <c r="A802" s="3"/>
      <c r="B802" s="3"/>
      <c r="C802" s="4"/>
      <c r="D802" s="3"/>
      <c r="E802" s="3"/>
      <c r="F802" s="3"/>
      <c r="G802" s="3"/>
      <c r="H802" s="3"/>
      <c r="I802" s="3"/>
      <c r="J802" s="145"/>
      <c r="K802" s="3"/>
      <c r="L802" s="3"/>
      <c r="M802" s="146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hidden="1" customHeight="1" spans="1:29">
      <c r="A803" s="3"/>
      <c r="B803" s="3"/>
      <c r="C803" s="4"/>
      <c r="D803" s="3"/>
      <c r="E803" s="3"/>
      <c r="F803" s="3"/>
      <c r="G803" s="3"/>
      <c r="H803" s="3"/>
      <c r="I803" s="3"/>
      <c r="J803" s="145"/>
      <c r="K803" s="3"/>
      <c r="L803" s="3"/>
      <c r="M803" s="146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hidden="1" customHeight="1" spans="1:29">
      <c r="A804" s="3"/>
      <c r="B804" s="3"/>
      <c r="C804" s="4"/>
      <c r="D804" s="3"/>
      <c r="E804" s="3"/>
      <c r="F804" s="3"/>
      <c r="G804" s="3"/>
      <c r="H804" s="3"/>
      <c r="I804" s="3"/>
      <c r="J804" s="145"/>
      <c r="K804" s="3"/>
      <c r="L804" s="3"/>
      <c r="M804" s="146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hidden="1" customHeight="1" spans="1:29">
      <c r="A805" s="3"/>
      <c r="B805" s="3"/>
      <c r="C805" s="4"/>
      <c r="D805" s="3"/>
      <c r="E805" s="3"/>
      <c r="F805" s="3"/>
      <c r="G805" s="3"/>
      <c r="H805" s="3"/>
      <c r="I805" s="3"/>
      <c r="J805" s="145"/>
      <c r="K805" s="3"/>
      <c r="L805" s="3"/>
      <c r="M805" s="146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hidden="1" customHeight="1" spans="1:29">
      <c r="A806" s="3"/>
      <c r="B806" s="3"/>
      <c r="C806" s="4"/>
      <c r="D806" s="3"/>
      <c r="E806" s="3"/>
      <c r="F806" s="3"/>
      <c r="G806" s="3"/>
      <c r="H806" s="3"/>
      <c r="I806" s="3"/>
      <c r="J806" s="145"/>
      <c r="K806" s="3"/>
      <c r="L806" s="3"/>
      <c r="M806" s="146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hidden="1" customHeight="1" spans="1:29">
      <c r="A807" s="3"/>
      <c r="B807" s="3"/>
      <c r="C807" s="4"/>
      <c r="D807" s="3"/>
      <c r="E807" s="3"/>
      <c r="F807" s="3"/>
      <c r="G807" s="3"/>
      <c r="H807" s="3"/>
      <c r="I807" s="3"/>
      <c r="J807" s="147"/>
      <c r="K807" s="3"/>
      <c r="L807" s="3"/>
      <c r="M807" s="146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hidden="1" customHeight="1" spans="1:29">
      <c r="A808" s="3"/>
      <c r="B808" s="3"/>
      <c r="C808" s="4"/>
      <c r="D808" s="3"/>
      <c r="E808" s="3"/>
      <c r="F808" s="3"/>
      <c r="G808" s="3"/>
      <c r="H808" s="3"/>
      <c r="I808" s="3"/>
      <c r="J808" s="147"/>
      <c r="K808" s="3"/>
      <c r="L808" s="3"/>
      <c r="M808" s="146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hidden="1" customHeight="1" spans="1:29">
      <c r="A809" s="3"/>
      <c r="B809" s="3"/>
      <c r="C809" s="4"/>
      <c r="D809" s="3"/>
      <c r="E809" s="3"/>
      <c r="F809" s="3"/>
      <c r="G809" s="3"/>
      <c r="H809" s="3"/>
      <c r="I809" s="3"/>
      <c r="J809" s="147"/>
      <c r="K809" s="3"/>
      <c r="L809" s="3"/>
      <c r="M809" s="146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hidden="1" customHeight="1" spans="1:29">
      <c r="A810" s="3"/>
      <c r="B810" s="3"/>
      <c r="C810" s="4"/>
      <c r="D810" s="3"/>
      <c r="E810" s="3"/>
      <c r="F810" s="3"/>
      <c r="G810" s="3"/>
      <c r="H810" s="3"/>
      <c r="I810" s="3"/>
      <c r="J810" s="147"/>
      <c r="K810" s="3"/>
      <c r="L810" s="3"/>
      <c r="M810" s="146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hidden="1" customHeight="1" spans="1:29">
      <c r="A811" s="3"/>
      <c r="B811" s="3"/>
      <c r="C811" s="4"/>
      <c r="D811" s="3"/>
      <c r="E811" s="3"/>
      <c r="F811" s="3"/>
      <c r="G811" s="3"/>
      <c r="H811" s="3"/>
      <c r="I811" s="3"/>
      <c r="J811" s="147"/>
      <c r="K811" s="3"/>
      <c r="L811" s="3"/>
      <c r="M811" s="146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hidden="1" customHeight="1" spans="1:29">
      <c r="A812" s="3"/>
      <c r="B812" s="3"/>
      <c r="C812" s="4"/>
      <c r="D812" s="3"/>
      <c r="E812" s="3"/>
      <c r="F812" s="3"/>
      <c r="G812" s="3"/>
      <c r="H812" s="3"/>
      <c r="I812" s="3"/>
      <c r="J812" s="147"/>
      <c r="K812" s="3"/>
      <c r="L812" s="3"/>
      <c r="M812" s="146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hidden="1" customHeight="1" spans="1:29">
      <c r="A813" s="3"/>
      <c r="B813" s="3"/>
      <c r="C813" s="4"/>
      <c r="D813" s="3"/>
      <c r="E813" s="3"/>
      <c r="F813" s="3"/>
      <c r="G813" s="3"/>
      <c r="H813" s="3"/>
      <c r="I813" s="3"/>
      <c r="J813" s="147"/>
      <c r="K813" s="3"/>
      <c r="L813" s="3"/>
      <c r="M813" s="146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hidden="1" customHeight="1" spans="1:29">
      <c r="A814" s="3"/>
      <c r="B814" s="3"/>
      <c r="C814" s="4"/>
      <c r="D814" s="3"/>
      <c r="E814" s="3"/>
      <c r="F814" s="3"/>
      <c r="G814" s="3"/>
      <c r="H814" s="3"/>
      <c r="I814" s="3"/>
      <c r="J814" s="147"/>
      <c r="K814" s="3"/>
      <c r="L814" s="3"/>
      <c r="M814" s="146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hidden="1" customHeight="1" spans="1:29">
      <c r="A815" s="3"/>
      <c r="B815" s="3"/>
      <c r="C815" s="4"/>
      <c r="D815" s="3"/>
      <c r="E815" s="3"/>
      <c r="F815" s="3"/>
      <c r="G815" s="3"/>
      <c r="H815" s="3"/>
      <c r="I815" s="3"/>
      <c r="J815" s="147"/>
      <c r="K815" s="3"/>
      <c r="L815" s="3"/>
      <c r="M815" s="146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hidden="1" customHeight="1" spans="1:29">
      <c r="A816" s="3"/>
      <c r="B816" s="3"/>
      <c r="C816" s="4"/>
      <c r="D816" s="3"/>
      <c r="E816" s="3"/>
      <c r="F816" s="3"/>
      <c r="G816" s="3"/>
      <c r="H816" s="3"/>
      <c r="I816" s="3"/>
      <c r="J816" s="147"/>
      <c r="K816" s="3"/>
      <c r="L816" s="3"/>
      <c r="M816" s="146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hidden="1" customHeight="1" spans="1:29">
      <c r="A817" s="3"/>
      <c r="B817" s="3"/>
      <c r="C817" s="4"/>
      <c r="D817" s="3"/>
      <c r="E817" s="3"/>
      <c r="F817" s="3"/>
      <c r="G817" s="3"/>
      <c r="H817" s="3"/>
      <c r="I817" s="3"/>
      <c r="J817" s="145"/>
      <c r="K817" s="3"/>
      <c r="L817" s="3"/>
      <c r="M817" s="146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hidden="1" customHeight="1" spans="1:29">
      <c r="A818" s="3"/>
      <c r="B818" s="3"/>
      <c r="C818" s="4"/>
      <c r="D818" s="3"/>
      <c r="E818" s="3"/>
      <c r="F818" s="3"/>
      <c r="G818" s="3"/>
      <c r="H818" s="3"/>
      <c r="I818" s="3"/>
      <c r="J818" s="145"/>
      <c r="K818" s="3"/>
      <c r="L818" s="3"/>
      <c r="M818" s="146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hidden="1" customHeight="1" spans="1:29">
      <c r="A819" s="3"/>
      <c r="B819" s="3"/>
      <c r="C819" s="4"/>
      <c r="D819" s="3"/>
      <c r="E819" s="3"/>
      <c r="F819" s="3"/>
      <c r="G819" s="3"/>
      <c r="H819" s="3"/>
      <c r="I819" s="3"/>
      <c r="J819" s="145"/>
      <c r="K819" s="3"/>
      <c r="L819" s="3"/>
      <c r="M819" s="146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hidden="1" customHeight="1" spans="1:29">
      <c r="A820" s="3"/>
      <c r="B820" s="3"/>
      <c r="C820" s="4"/>
      <c r="D820" s="3"/>
      <c r="E820" s="3"/>
      <c r="F820" s="3"/>
      <c r="G820" s="3"/>
      <c r="H820" s="3"/>
      <c r="I820" s="3"/>
      <c r="J820" s="145"/>
      <c r="K820" s="3"/>
      <c r="L820" s="3"/>
      <c r="M820" s="146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hidden="1" customHeight="1" spans="1:29">
      <c r="A821" s="3"/>
      <c r="B821" s="3"/>
      <c r="C821" s="4"/>
      <c r="D821" s="3"/>
      <c r="E821" s="3"/>
      <c r="F821" s="3"/>
      <c r="G821" s="3"/>
      <c r="H821" s="3"/>
      <c r="I821" s="3"/>
      <c r="J821" s="147"/>
      <c r="K821" s="3"/>
      <c r="L821" s="3"/>
      <c r="M821" s="146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hidden="1" customHeight="1" spans="1:29">
      <c r="A822" s="3"/>
      <c r="B822" s="3"/>
      <c r="C822" s="4"/>
      <c r="D822" s="3"/>
      <c r="E822" s="3"/>
      <c r="F822" s="3"/>
      <c r="G822" s="3"/>
      <c r="H822" s="3"/>
      <c r="I822" s="3"/>
      <c r="J822" s="147"/>
      <c r="K822" s="3"/>
      <c r="L822" s="3"/>
      <c r="M822" s="146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hidden="1" customHeight="1" spans="1:29">
      <c r="A823" s="3"/>
      <c r="B823" s="3"/>
      <c r="C823" s="4"/>
      <c r="D823" s="3"/>
      <c r="E823" s="3"/>
      <c r="F823" s="3"/>
      <c r="G823" s="3"/>
      <c r="H823" s="3"/>
      <c r="I823" s="3"/>
      <c r="J823" s="147"/>
      <c r="K823" s="3"/>
      <c r="L823" s="3"/>
      <c r="M823" s="146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hidden="1" customHeight="1" spans="1:29">
      <c r="A824" s="3"/>
      <c r="B824" s="3"/>
      <c r="C824" s="4"/>
      <c r="D824" s="3"/>
      <c r="E824" s="3"/>
      <c r="F824" s="3"/>
      <c r="G824" s="3"/>
      <c r="H824" s="3"/>
      <c r="I824" s="3"/>
      <c r="J824" s="147"/>
      <c r="K824" s="3"/>
      <c r="L824" s="3"/>
      <c r="M824" s="146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hidden="1" customHeight="1" spans="1:29">
      <c r="A825" s="3"/>
      <c r="B825" s="3"/>
      <c r="C825" s="4"/>
      <c r="D825" s="3"/>
      <c r="E825" s="3"/>
      <c r="F825" s="3"/>
      <c r="G825" s="3"/>
      <c r="H825" s="3"/>
      <c r="I825" s="3"/>
      <c r="J825" s="147"/>
      <c r="K825" s="3"/>
      <c r="L825" s="3"/>
      <c r="M825" s="146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hidden="1" customHeight="1" spans="1:29">
      <c r="A826" s="3"/>
      <c r="B826" s="3"/>
      <c r="C826" s="4"/>
      <c r="D826" s="3"/>
      <c r="E826" s="3"/>
      <c r="F826" s="3"/>
      <c r="G826" s="3"/>
      <c r="H826" s="3"/>
      <c r="I826" s="3"/>
      <c r="J826" s="147"/>
      <c r="K826" s="3"/>
      <c r="L826" s="3"/>
      <c r="M826" s="146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hidden="1" customHeight="1" spans="1:29">
      <c r="A827" s="3"/>
      <c r="B827" s="3"/>
      <c r="C827" s="4"/>
      <c r="D827" s="3"/>
      <c r="E827" s="3"/>
      <c r="F827" s="3"/>
      <c r="G827" s="3"/>
      <c r="H827" s="3"/>
      <c r="I827" s="3"/>
      <c r="J827" s="147"/>
      <c r="K827" s="3"/>
      <c r="L827" s="3"/>
      <c r="M827" s="146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hidden="1" customHeight="1" spans="1:29">
      <c r="A828" s="3"/>
      <c r="B828" s="3"/>
      <c r="C828" s="4"/>
      <c r="D828" s="3"/>
      <c r="E828" s="3"/>
      <c r="F828" s="3"/>
      <c r="G828" s="3"/>
      <c r="H828" s="3"/>
      <c r="I828" s="3"/>
      <c r="J828" s="147"/>
      <c r="K828" s="3"/>
      <c r="L828" s="3"/>
      <c r="M828" s="146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hidden="1" customHeight="1" spans="1:29">
      <c r="A829" s="3"/>
      <c r="B829" s="3"/>
      <c r="C829" s="4"/>
      <c r="D829" s="3"/>
      <c r="E829" s="3"/>
      <c r="F829" s="3"/>
      <c r="G829" s="3"/>
      <c r="H829" s="3"/>
      <c r="I829" s="3"/>
      <c r="J829" s="147"/>
      <c r="K829" s="3"/>
      <c r="L829" s="3"/>
      <c r="M829" s="146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hidden="1" customHeight="1" spans="1:29">
      <c r="A830" s="3"/>
      <c r="B830" s="3"/>
      <c r="C830" s="4"/>
      <c r="D830" s="3"/>
      <c r="E830" s="3"/>
      <c r="F830" s="3"/>
      <c r="G830" s="3"/>
      <c r="H830" s="3"/>
      <c r="I830" s="3"/>
      <c r="J830" s="147"/>
      <c r="K830" s="3"/>
      <c r="L830" s="3"/>
      <c r="M830" s="146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hidden="1" customHeight="1" spans="1:29">
      <c r="A831" s="3"/>
      <c r="B831" s="3"/>
      <c r="C831" s="4"/>
      <c r="D831" s="3"/>
      <c r="E831" s="3"/>
      <c r="F831" s="3"/>
      <c r="G831" s="3"/>
      <c r="H831" s="3"/>
      <c r="I831" s="3"/>
      <c r="J831" s="147"/>
      <c r="K831" s="3"/>
      <c r="L831" s="3"/>
      <c r="M831" s="146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hidden="1" customHeight="1" spans="1:29">
      <c r="A832" s="3"/>
      <c r="B832" s="3"/>
      <c r="C832" s="4"/>
      <c r="D832" s="3"/>
      <c r="E832" s="3"/>
      <c r="F832" s="3"/>
      <c r="G832" s="3"/>
      <c r="H832" s="3"/>
      <c r="I832" s="3"/>
      <c r="J832" s="147"/>
      <c r="K832" s="3"/>
      <c r="L832" s="3"/>
      <c r="M832" s="146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hidden="1" customHeight="1" spans="1:29">
      <c r="A833" s="3"/>
      <c r="B833" s="3"/>
      <c r="C833" s="4"/>
      <c r="D833" s="3"/>
      <c r="E833" s="3"/>
      <c r="F833" s="3"/>
      <c r="G833" s="3"/>
      <c r="H833" s="3"/>
      <c r="I833" s="3"/>
      <c r="J833" s="145"/>
      <c r="K833" s="3"/>
      <c r="L833" s="3"/>
      <c r="M833" s="146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hidden="1" customHeight="1" spans="1:29">
      <c r="A834" s="3"/>
      <c r="B834" s="3"/>
      <c r="C834" s="4"/>
      <c r="D834" s="3"/>
      <c r="E834" s="3"/>
      <c r="F834" s="3"/>
      <c r="G834" s="3"/>
      <c r="H834" s="3"/>
      <c r="I834" s="3"/>
      <c r="J834" s="147"/>
      <c r="K834" s="3"/>
      <c r="L834" s="3"/>
      <c r="M834" s="146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hidden="1" customHeight="1" spans="1:29">
      <c r="A835" s="3"/>
      <c r="B835" s="3"/>
      <c r="C835" s="4"/>
      <c r="D835" s="3"/>
      <c r="E835" s="3"/>
      <c r="F835" s="3"/>
      <c r="G835" s="3"/>
      <c r="H835" s="3"/>
      <c r="I835" s="3"/>
      <c r="J835" s="147"/>
      <c r="K835" s="3"/>
      <c r="L835" s="3"/>
      <c r="M835" s="146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hidden="1" customHeight="1" spans="1:29">
      <c r="A836" s="3"/>
      <c r="B836" s="3"/>
      <c r="C836" s="4"/>
      <c r="D836" s="3"/>
      <c r="E836" s="3"/>
      <c r="F836" s="3"/>
      <c r="G836" s="3"/>
      <c r="H836" s="3"/>
      <c r="I836" s="3"/>
      <c r="J836" s="147"/>
      <c r="K836" s="3"/>
      <c r="L836" s="3"/>
      <c r="M836" s="146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hidden="1" customHeight="1" spans="1:29">
      <c r="A837" s="3"/>
      <c r="B837" s="3"/>
      <c r="C837" s="4"/>
      <c r="D837" s="3"/>
      <c r="E837" s="3"/>
      <c r="F837" s="3"/>
      <c r="G837" s="3"/>
      <c r="H837" s="3"/>
      <c r="I837" s="3"/>
      <c r="J837" s="147"/>
      <c r="K837" s="3"/>
      <c r="L837" s="3"/>
      <c r="M837" s="146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hidden="1" customHeight="1" spans="1:29">
      <c r="A838" s="3"/>
      <c r="B838" s="3"/>
      <c r="C838" s="4"/>
      <c r="D838" s="3"/>
      <c r="E838" s="3"/>
      <c r="F838" s="3"/>
      <c r="G838" s="3"/>
      <c r="H838" s="3"/>
      <c r="I838" s="3"/>
      <c r="J838" s="147"/>
      <c r="K838" s="3"/>
      <c r="L838" s="3"/>
      <c r="M838" s="146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hidden="1" customHeight="1" spans="1:29">
      <c r="A839" s="3"/>
      <c r="B839" s="3"/>
      <c r="C839" s="4"/>
      <c r="D839" s="3"/>
      <c r="E839" s="3"/>
      <c r="F839" s="3"/>
      <c r="G839" s="3"/>
      <c r="H839" s="3"/>
      <c r="I839" s="3"/>
      <c r="J839" s="147"/>
      <c r="K839" s="3"/>
      <c r="L839" s="3"/>
      <c r="M839" s="146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hidden="1" customHeight="1" spans="1:29">
      <c r="A840" s="3"/>
      <c r="B840" s="3"/>
      <c r="C840" s="4"/>
      <c r="D840" s="3"/>
      <c r="E840" s="3"/>
      <c r="F840" s="3"/>
      <c r="G840" s="3"/>
      <c r="H840" s="3"/>
      <c r="I840" s="3"/>
      <c r="J840" s="147"/>
      <c r="K840" s="3"/>
      <c r="L840" s="3"/>
      <c r="M840" s="146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hidden="1" customHeight="1" spans="1:29">
      <c r="A841" s="3"/>
      <c r="B841" s="3"/>
      <c r="C841" s="4"/>
      <c r="D841" s="3"/>
      <c r="E841" s="3"/>
      <c r="F841" s="3"/>
      <c r="G841" s="3"/>
      <c r="H841" s="3"/>
      <c r="I841" s="3"/>
      <c r="J841" s="147"/>
      <c r="K841" s="3"/>
      <c r="L841" s="3"/>
      <c r="M841" s="146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hidden="1" customHeight="1" spans="1:29">
      <c r="A842" s="3"/>
      <c r="B842" s="3"/>
      <c r="C842" s="4"/>
      <c r="D842" s="3"/>
      <c r="E842" s="3"/>
      <c r="F842" s="3"/>
      <c r="G842" s="3"/>
      <c r="H842" s="3"/>
      <c r="I842" s="3"/>
      <c r="J842" s="147"/>
      <c r="K842" s="3"/>
      <c r="L842" s="3"/>
      <c r="M842" s="146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hidden="1" customHeight="1" spans="1:29">
      <c r="A843" s="3"/>
      <c r="B843" s="3"/>
      <c r="C843" s="4"/>
      <c r="D843" s="3"/>
      <c r="E843" s="3"/>
      <c r="F843" s="3"/>
      <c r="G843" s="3"/>
      <c r="H843" s="3"/>
      <c r="I843" s="3"/>
      <c r="J843" s="145"/>
      <c r="K843" s="3"/>
      <c r="L843" s="3"/>
      <c r="M843" s="146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hidden="1" customHeight="1" spans="1:29">
      <c r="A844" s="3"/>
      <c r="B844" s="3"/>
      <c r="C844" s="4"/>
      <c r="D844" s="3"/>
      <c r="E844" s="3"/>
      <c r="F844" s="3"/>
      <c r="G844" s="3"/>
      <c r="H844" s="3"/>
      <c r="I844" s="3"/>
      <c r="J844" s="147"/>
      <c r="K844" s="3"/>
      <c r="L844" s="3"/>
      <c r="M844" s="146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hidden="1" customHeight="1" spans="1:29">
      <c r="A845" s="3"/>
      <c r="B845" s="3"/>
      <c r="C845" s="4"/>
      <c r="D845" s="3"/>
      <c r="E845" s="3"/>
      <c r="F845" s="3"/>
      <c r="G845" s="3"/>
      <c r="H845" s="3"/>
      <c r="I845" s="3"/>
      <c r="J845" s="147"/>
      <c r="K845" s="3"/>
      <c r="L845" s="3"/>
      <c r="M845" s="146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hidden="1" customHeight="1" spans="1:29">
      <c r="A846" s="3"/>
      <c r="B846" s="3"/>
      <c r="C846" s="4"/>
      <c r="D846" s="3"/>
      <c r="E846" s="3"/>
      <c r="F846" s="3"/>
      <c r="G846" s="3"/>
      <c r="H846" s="3"/>
      <c r="I846" s="3"/>
      <c r="J846" s="145"/>
      <c r="K846" s="3"/>
      <c r="L846" s="3"/>
      <c r="M846" s="146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hidden="1" customHeight="1" spans="1:29">
      <c r="A847" s="3"/>
      <c r="B847" s="3"/>
      <c r="C847" s="4"/>
      <c r="D847" s="3"/>
      <c r="E847" s="3"/>
      <c r="F847" s="3"/>
      <c r="G847" s="3"/>
      <c r="H847" s="3"/>
      <c r="I847" s="3"/>
      <c r="J847" s="145"/>
      <c r="K847" s="3"/>
      <c r="L847" s="3"/>
      <c r="M847" s="146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hidden="1" customHeight="1" spans="1:29">
      <c r="A848" s="3"/>
      <c r="B848" s="3"/>
      <c r="C848" s="4"/>
      <c r="D848" s="3"/>
      <c r="E848" s="3"/>
      <c r="F848" s="3"/>
      <c r="G848" s="3"/>
      <c r="H848" s="3"/>
      <c r="I848" s="3"/>
      <c r="J848" s="145"/>
      <c r="K848" s="3"/>
      <c r="L848" s="3"/>
      <c r="M848" s="146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hidden="1" customHeight="1" spans="1:29">
      <c r="A849" s="3"/>
      <c r="B849" s="3"/>
      <c r="C849" s="4"/>
      <c r="D849" s="3"/>
      <c r="E849" s="3"/>
      <c r="F849" s="3"/>
      <c r="G849" s="3"/>
      <c r="H849" s="3"/>
      <c r="I849" s="3"/>
      <c r="J849" s="145"/>
      <c r="K849" s="3"/>
      <c r="L849" s="3"/>
      <c r="M849" s="146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hidden="1" customHeight="1" spans="1:29">
      <c r="A850" s="3"/>
      <c r="B850" s="3"/>
      <c r="C850" s="4"/>
      <c r="D850" s="3"/>
      <c r="E850" s="3"/>
      <c r="F850" s="3"/>
      <c r="G850" s="3"/>
      <c r="H850" s="3"/>
      <c r="I850" s="3"/>
      <c r="J850" s="145"/>
      <c r="K850" s="3"/>
      <c r="L850" s="3"/>
      <c r="M850" s="146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hidden="1" customHeight="1" spans="1:29">
      <c r="A851" s="3"/>
      <c r="B851" s="3"/>
      <c r="C851" s="4"/>
      <c r="D851" s="3"/>
      <c r="E851" s="3"/>
      <c r="F851" s="3"/>
      <c r="G851" s="3"/>
      <c r="H851" s="3"/>
      <c r="I851" s="3"/>
      <c r="J851" s="145"/>
      <c r="K851" s="3"/>
      <c r="L851" s="3"/>
      <c r="M851" s="146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hidden="1" customHeight="1" spans="1:29">
      <c r="A852" s="3"/>
      <c r="B852" s="3"/>
      <c r="C852" s="4"/>
      <c r="D852" s="3"/>
      <c r="E852" s="3"/>
      <c r="F852" s="3"/>
      <c r="G852" s="3"/>
      <c r="H852" s="3"/>
      <c r="I852" s="3"/>
      <c r="J852" s="145"/>
      <c r="K852" s="3"/>
      <c r="L852" s="3"/>
      <c r="M852" s="146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hidden="1" customHeight="1" spans="1:29">
      <c r="A853" s="3"/>
      <c r="B853" s="3"/>
      <c r="C853" s="4"/>
      <c r="D853" s="3"/>
      <c r="E853" s="3"/>
      <c r="F853" s="3"/>
      <c r="G853" s="3"/>
      <c r="H853" s="3"/>
      <c r="I853" s="3"/>
      <c r="J853" s="147"/>
      <c r="K853" s="3"/>
      <c r="L853" s="3"/>
      <c r="M853" s="146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hidden="1" customHeight="1" spans="1:29">
      <c r="A854" s="3"/>
      <c r="B854" s="3"/>
      <c r="C854" s="4"/>
      <c r="D854" s="3"/>
      <c r="E854" s="3"/>
      <c r="F854" s="3"/>
      <c r="G854" s="3"/>
      <c r="H854" s="3"/>
      <c r="I854" s="3"/>
      <c r="J854" s="147"/>
      <c r="K854" s="3"/>
      <c r="L854" s="3"/>
      <c r="M854" s="146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hidden="1" customHeight="1" spans="1:29">
      <c r="A855" s="3"/>
      <c r="B855" s="3"/>
      <c r="C855" s="4"/>
      <c r="D855" s="3"/>
      <c r="E855" s="3"/>
      <c r="F855" s="3"/>
      <c r="G855" s="3"/>
      <c r="H855" s="3"/>
      <c r="I855" s="3"/>
      <c r="J855" s="147"/>
      <c r="K855" s="3"/>
      <c r="L855" s="3"/>
      <c r="M855" s="146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hidden="1" customHeight="1" spans="1:29">
      <c r="A856" s="3"/>
      <c r="B856" s="3"/>
      <c r="C856" s="4"/>
      <c r="D856" s="3"/>
      <c r="E856" s="3"/>
      <c r="F856" s="3"/>
      <c r="G856" s="3"/>
      <c r="H856" s="3"/>
      <c r="I856" s="3"/>
      <c r="J856" s="147"/>
      <c r="K856" s="3"/>
      <c r="L856" s="3"/>
      <c r="M856" s="146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hidden="1" customHeight="1" spans="1:29">
      <c r="A857" s="3"/>
      <c r="B857" s="3"/>
      <c r="C857" s="4"/>
      <c r="D857" s="3"/>
      <c r="E857" s="3"/>
      <c r="F857" s="3"/>
      <c r="G857" s="3"/>
      <c r="H857" s="3"/>
      <c r="I857" s="3"/>
      <c r="J857" s="147"/>
      <c r="K857" s="3"/>
      <c r="L857" s="3"/>
      <c r="M857" s="146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hidden="1" customHeight="1" spans="1:29">
      <c r="A858" s="3"/>
      <c r="B858" s="3"/>
      <c r="C858" s="4"/>
      <c r="D858" s="3"/>
      <c r="E858" s="3"/>
      <c r="F858" s="3"/>
      <c r="G858" s="3"/>
      <c r="H858" s="3"/>
      <c r="I858" s="3"/>
      <c r="J858" s="147"/>
      <c r="K858" s="3"/>
      <c r="L858" s="3"/>
      <c r="M858" s="146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hidden="1" customHeight="1" spans="1:29">
      <c r="A859" s="3"/>
      <c r="B859" s="3"/>
      <c r="C859" s="4"/>
      <c r="D859" s="3"/>
      <c r="E859" s="3"/>
      <c r="F859" s="3"/>
      <c r="G859" s="3"/>
      <c r="H859" s="3"/>
      <c r="I859" s="3"/>
      <c r="J859" s="145"/>
      <c r="K859" s="3"/>
      <c r="L859" s="3"/>
      <c r="M859" s="146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hidden="1" customHeight="1" spans="1:29">
      <c r="A860" s="3"/>
      <c r="B860" s="3"/>
      <c r="C860" s="4"/>
      <c r="D860" s="3"/>
      <c r="E860" s="3"/>
      <c r="F860" s="3"/>
      <c r="G860" s="3"/>
      <c r="H860" s="3"/>
      <c r="I860" s="3"/>
      <c r="J860" s="145"/>
      <c r="K860" s="3"/>
      <c r="L860" s="3"/>
      <c r="M860" s="146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hidden="1" customHeight="1" spans="1:29">
      <c r="A861" s="3"/>
      <c r="B861" s="3"/>
      <c r="C861" s="4"/>
      <c r="D861" s="3"/>
      <c r="E861" s="3"/>
      <c r="F861" s="3"/>
      <c r="G861" s="3"/>
      <c r="H861" s="3"/>
      <c r="I861" s="3"/>
      <c r="J861" s="145"/>
      <c r="K861" s="3"/>
      <c r="L861" s="3"/>
      <c r="M861" s="146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hidden="1" customHeight="1" spans="1:29">
      <c r="A862" s="3"/>
      <c r="B862" s="3"/>
      <c r="C862" s="4"/>
      <c r="D862" s="3"/>
      <c r="E862" s="3"/>
      <c r="F862" s="3"/>
      <c r="G862" s="3"/>
      <c r="H862" s="3"/>
      <c r="I862" s="3"/>
      <c r="J862" s="145"/>
      <c r="K862" s="3"/>
      <c r="L862" s="3"/>
      <c r="M862" s="146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hidden="1" customHeight="1" spans="1:29">
      <c r="A863" s="3"/>
      <c r="B863" s="3"/>
      <c r="C863" s="4"/>
      <c r="D863" s="3"/>
      <c r="E863" s="3"/>
      <c r="F863" s="3"/>
      <c r="G863" s="3"/>
      <c r="H863" s="3"/>
      <c r="I863" s="3"/>
      <c r="J863" s="145"/>
      <c r="K863" s="3"/>
      <c r="L863" s="3"/>
      <c r="M863" s="146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hidden="1" customHeight="1" spans="1:29">
      <c r="A864" s="3"/>
      <c r="B864" s="3"/>
      <c r="C864" s="4"/>
      <c r="D864" s="3"/>
      <c r="E864" s="3"/>
      <c r="F864" s="3"/>
      <c r="G864" s="3"/>
      <c r="H864" s="3"/>
      <c r="I864" s="3"/>
      <c r="J864" s="145"/>
      <c r="K864" s="3"/>
      <c r="L864" s="3"/>
      <c r="M864" s="146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hidden="1" customHeight="1" spans="1:29">
      <c r="A865" s="3"/>
      <c r="B865" s="3"/>
      <c r="C865" s="4"/>
      <c r="D865" s="3"/>
      <c r="E865" s="3"/>
      <c r="F865" s="3"/>
      <c r="G865" s="3"/>
      <c r="H865" s="3"/>
      <c r="I865" s="3"/>
      <c r="J865" s="145"/>
      <c r="K865" s="3"/>
      <c r="L865" s="3"/>
      <c r="M865" s="146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hidden="1" customHeight="1" spans="1:29">
      <c r="A866" s="3"/>
      <c r="B866" s="3"/>
      <c r="C866" s="4"/>
      <c r="D866" s="3"/>
      <c r="E866" s="3"/>
      <c r="F866" s="3"/>
      <c r="G866" s="3"/>
      <c r="H866" s="3"/>
      <c r="I866" s="3"/>
      <c r="J866" s="147"/>
      <c r="K866" s="3"/>
      <c r="L866" s="3"/>
      <c r="M866" s="146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hidden="1" customHeight="1" spans="1:29">
      <c r="A867" s="3"/>
      <c r="B867" s="3"/>
      <c r="C867" s="4"/>
      <c r="D867" s="3"/>
      <c r="E867" s="3"/>
      <c r="F867" s="3"/>
      <c r="G867" s="3"/>
      <c r="H867" s="3"/>
      <c r="I867" s="3"/>
      <c r="J867" s="147"/>
      <c r="K867" s="3"/>
      <c r="L867" s="3"/>
      <c r="M867" s="146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hidden="1" customHeight="1" spans="1:29">
      <c r="A868" s="3"/>
      <c r="B868" s="3"/>
      <c r="C868" s="4"/>
      <c r="D868" s="3"/>
      <c r="E868" s="3"/>
      <c r="F868" s="3"/>
      <c r="G868" s="3"/>
      <c r="H868" s="3"/>
      <c r="I868" s="3"/>
      <c r="J868" s="147"/>
      <c r="K868" s="3"/>
      <c r="L868" s="3"/>
      <c r="M868" s="146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hidden="1" customHeight="1" spans="1:29">
      <c r="A869" s="3"/>
      <c r="B869" s="3"/>
      <c r="C869" s="4"/>
      <c r="D869" s="3"/>
      <c r="E869" s="3"/>
      <c r="F869" s="3"/>
      <c r="G869" s="3"/>
      <c r="H869" s="3"/>
      <c r="I869" s="3"/>
      <c r="J869" s="147"/>
      <c r="K869" s="3"/>
      <c r="L869" s="3"/>
      <c r="M869" s="146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hidden="1" customHeight="1" spans="1:29">
      <c r="A870" s="3"/>
      <c r="B870" s="3"/>
      <c r="C870" s="4"/>
      <c r="D870" s="3"/>
      <c r="E870" s="3"/>
      <c r="F870" s="3"/>
      <c r="G870" s="3"/>
      <c r="H870" s="3"/>
      <c r="I870" s="3"/>
      <c r="J870" s="147"/>
      <c r="K870" s="3"/>
      <c r="L870" s="3"/>
      <c r="M870" s="146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hidden="1" customHeight="1" spans="1:29">
      <c r="A871" s="3"/>
      <c r="B871" s="3"/>
      <c r="C871" s="4"/>
      <c r="D871" s="3"/>
      <c r="E871" s="3"/>
      <c r="F871" s="3"/>
      <c r="G871" s="3"/>
      <c r="H871" s="3"/>
      <c r="I871" s="3"/>
      <c r="J871" s="147"/>
      <c r="K871" s="3"/>
      <c r="L871" s="3"/>
      <c r="M871" s="146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hidden="1" customHeight="1" spans="1:29">
      <c r="A872" s="3"/>
      <c r="B872" s="3"/>
      <c r="C872" s="4"/>
      <c r="D872" s="3"/>
      <c r="E872" s="3"/>
      <c r="F872" s="3"/>
      <c r="G872" s="3"/>
      <c r="H872" s="3"/>
      <c r="I872" s="3"/>
      <c r="J872" s="147"/>
      <c r="K872" s="3"/>
      <c r="L872" s="3"/>
      <c r="M872" s="146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hidden="1" customHeight="1" spans="1:29">
      <c r="A873" s="3"/>
      <c r="B873" s="3"/>
      <c r="C873" s="4"/>
      <c r="D873" s="3"/>
      <c r="E873" s="3"/>
      <c r="F873" s="3"/>
      <c r="G873" s="3"/>
      <c r="H873" s="3"/>
      <c r="I873" s="3"/>
      <c r="J873" s="147"/>
      <c r="K873" s="3"/>
      <c r="L873" s="3"/>
      <c r="M873" s="146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hidden="1" customHeight="1" spans="1:29">
      <c r="A874" s="3"/>
      <c r="B874" s="3"/>
      <c r="C874" s="4"/>
      <c r="D874" s="3"/>
      <c r="E874" s="3"/>
      <c r="F874" s="3"/>
      <c r="G874" s="3"/>
      <c r="H874" s="3"/>
      <c r="I874" s="3"/>
      <c r="J874" s="147"/>
      <c r="K874" s="3"/>
      <c r="L874" s="3"/>
      <c r="M874" s="146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hidden="1" customHeight="1" spans="1:29">
      <c r="A875" s="3"/>
      <c r="B875" s="3"/>
      <c r="C875" s="4"/>
      <c r="D875" s="3"/>
      <c r="E875" s="3"/>
      <c r="F875" s="3"/>
      <c r="G875" s="3"/>
      <c r="H875" s="3"/>
      <c r="I875" s="3"/>
      <c r="J875" s="147"/>
      <c r="K875" s="3"/>
      <c r="L875" s="3"/>
      <c r="M875" s="146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hidden="1" customHeight="1" spans="1:29">
      <c r="A876" s="3"/>
      <c r="B876" s="3"/>
      <c r="C876" s="4"/>
      <c r="D876" s="3"/>
      <c r="E876" s="3"/>
      <c r="F876" s="3"/>
      <c r="G876" s="3"/>
      <c r="H876" s="3"/>
      <c r="I876" s="3"/>
      <c r="J876" s="147"/>
      <c r="K876" s="3"/>
      <c r="L876" s="3"/>
      <c r="M876" s="146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hidden="1" customHeight="1" spans="1:29">
      <c r="A877" s="3"/>
      <c r="B877" s="3"/>
      <c r="C877" s="4"/>
      <c r="D877" s="3"/>
      <c r="E877" s="3"/>
      <c r="F877" s="3"/>
      <c r="G877" s="3"/>
      <c r="H877" s="3"/>
      <c r="I877" s="3"/>
      <c r="J877" s="145"/>
      <c r="K877" s="3"/>
      <c r="L877" s="3"/>
      <c r="M877" s="146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hidden="1" customHeight="1" spans="1:29">
      <c r="A878" s="3"/>
      <c r="B878" s="3"/>
      <c r="C878" s="4"/>
      <c r="D878" s="3"/>
      <c r="E878" s="3"/>
      <c r="F878" s="3"/>
      <c r="G878" s="3"/>
      <c r="H878" s="3"/>
      <c r="I878" s="3"/>
      <c r="J878" s="147"/>
      <c r="K878" s="3"/>
      <c r="L878" s="3"/>
      <c r="M878" s="146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hidden="1" customHeight="1" spans="1:29">
      <c r="A879" s="3"/>
      <c r="B879" s="3"/>
      <c r="C879" s="4"/>
      <c r="D879" s="3"/>
      <c r="E879" s="3"/>
      <c r="F879" s="3"/>
      <c r="G879" s="3"/>
      <c r="H879" s="3"/>
      <c r="I879" s="3"/>
      <c r="J879" s="147"/>
      <c r="K879" s="3"/>
      <c r="L879" s="3"/>
      <c r="M879" s="146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hidden="1" customHeight="1" spans="1:29">
      <c r="A880" s="3"/>
      <c r="B880" s="3"/>
      <c r="C880" s="4"/>
      <c r="D880" s="3"/>
      <c r="E880" s="3"/>
      <c r="F880" s="3"/>
      <c r="G880" s="3"/>
      <c r="H880" s="3"/>
      <c r="I880" s="3"/>
      <c r="J880" s="147"/>
      <c r="K880" s="3"/>
      <c r="L880" s="3"/>
      <c r="M880" s="146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hidden="1" customHeight="1" spans="1:29">
      <c r="A881" s="3"/>
      <c r="B881" s="3"/>
      <c r="C881" s="4"/>
      <c r="D881" s="3"/>
      <c r="E881" s="3"/>
      <c r="F881" s="3"/>
      <c r="G881" s="3"/>
      <c r="H881" s="3"/>
      <c r="I881" s="3"/>
      <c r="J881" s="147"/>
      <c r="K881" s="3"/>
      <c r="L881" s="3"/>
      <c r="M881" s="146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hidden="1" customHeight="1" spans="1:29">
      <c r="A882" s="3"/>
      <c r="B882" s="3"/>
      <c r="C882" s="4"/>
      <c r="D882" s="3"/>
      <c r="E882" s="3"/>
      <c r="F882" s="3"/>
      <c r="G882" s="3"/>
      <c r="H882" s="3"/>
      <c r="I882" s="3"/>
      <c r="J882" s="147"/>
      <c r="K882" s="3"/>
      <c r="L882" s="3"/>
      <c r="M882" s="146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hidden="1" customHeight="1" spans="1:29">
      <c r="A883" s="3"/>
      <c r="B883" s="3"/>
      <c r="C883" s="4"/>
      <c r="D883" s="3"/>
      <c r="E883" s="3"/>
      <c r="F883" s="3"/>
      <c r="G883" s="3"/>
      <c r="H883" s="3"/>
      <c r="I883" s="3"/>
      <c r="J883" s="145"/>
      <c r="K883" s="3"/>
      <c r="L883" s="3"/>
      <c r="M883" s="146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hidden="1" customHeight="1" spans="1:29">
      <c r="A884" s="3"/>
      <c r="B884" s="3"/>
      <c r="C884" s="4"/>
      <c r="D884" s="3"/>
      <c r="E884" s="3"/>
      <c r="F884" s="3"/>
      <c r="G884" s="3"/>
      <c r="H884" s="3"/>
      <c r="I884" s="3"/>
      <c r="J884" s="145"/>
      <c r="K884" s="3"/>
      <c r="L884" s="3"/>
      <c r="M884" s="146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hidden="1" customHeight="1" spans="1:29">
      <c r="A885" s="3"/>
      <c r="B885" s="3"/>
      <c r="C885" s="4"/>
      <c r="D885" s="3"/>
      <c r="E885" s="3"/>
      <c r="F885" s="3"/>
      <c r="G885" s="3"/>
      <c r="H885" s="3"/>
      <c r="I885" s="3"/>
      <c r="J885" s="147"/>
      <c r="K885" s="3"/>
      <c r="L885" s="3"/>
      <c r="M885" s="146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hidden="1" customHeight="1" spans="1:29">
      <c r="A886" s="3"/>
      <c r="B886" s="3"/>
      <c r="C886" s="4"/>
      <c r="D886" s="3"/>
      <c r="E886" s="3"/>
      <c r="F886" s="3"/>
      <c r="G886" s="3"/>
      <c r="H886" s="3"/>
      <c r="I886" s="3"/>
      <c r="J886" s="147"/>
      <c r="K886" s="3"/>
      <c r="L886" s="3"/>
      <c r="M886" s="146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hidden="1" customHeight="1" spans="1:29">
      <c r="A887" s="3"/>
      <c r="B887" s="3"/>
      <c r="C887" s="4"/>
      <c r="D887" s="3"/>
      <c r="E887" s="3"/>
      <c r="F887" s="3"/>
      <c r="G887" s="3"/>
      <c r="H887" s="3"/>
      <c r="I887" s="3"/>
      <c r="J887" s="147"/>
      <c r="K887" s="3"/>
      <c r="L887" s="3"/>
      <c r="M887" s="146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hidden="1" customHeight="1" spans="1:29">
      <c r="A888" s="3"/>
      <c r="B888" s="3"/>
      <c r="C888" s="4"/>
      <c r="D888" s="3"/>
      <c r="E888" s="3"/>
      <c r="F888" s="3"/>
      <c r="G888" s="3"/>
      <c r="H888" s="3"/>
      <c r="I888" s="3"/>
      <c r="J888" s="147"/>
      <c r="K888" s="3"/>
      <c r="L888" s="3"/>
      <c r="M888" s="146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hidden="1" customHeight="1" spans="1:29">
      <c r="A889" s="3"/>
      <c r="B889" s="3"/>
      <c r="C889" s="4"/>
      <c r="D889" s="3"/>
      <c r="E889" s="3"/>
      <c r="F889" s="3"/>
      <c r="G889" s="3"/>
      <c r="H889" s="3"/>
      <c r="I889" s="3"/>
      <c r="J889" s="147"/>
      <c r="K889" s="3"/>
      <c r="L889" s="3"/>
      <c r="M889" s="146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hidden="1" customHeight="1" spans="1:29">
      <c r="A890" s="3"/>
      <c r="B890" s="3"/>
      <c r="C890" s="4"/>
      <c r="D890" s="3"/>
      <c r="E890" s="3"/>
      <c r="F890" s="3"/>
      <c r="G890" s="3"/>
      <c r="H890" s="3"/>
      <c r="I890" s="3"/>
      <c r="J890" s="147"/>
      <c r="K890" s="3"/>
      <c r="L890" s="3"/>
      <c r="M890" s="146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hidden="1" customHeight="1" spans="1:29">
      <c r="A891" s="3"/>
      <c r="B891" s="3"/>
      <c r="C891" s="4"/>
      <c r="D891" s="3"/>
      <c r="E891" s="3"/>
      <c r="F891" s="3"/>
      <c r="G891" s="3"/>
      <c r="H891" s="3"/>
      <c r="I891" s="3"/>
      <c r="J891" s="147"/>
      <c r="K891" s="3"/>
      <c r="L891" s="3"/>
      <c r="M891" s="146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hidden="1" customHeight="1" spans="1:29">
      <c r="A892" s="3"/>
      <c r="B892" s="3"/>
      <c r="C892" s="4"/>
      <c r="D892" s="3"/>
      <c r="E892" s="3"/>
      <c r="F892" s="3"/>
      <c r="G892" s="3"/>
      <c r="H892" s="3"/>
      <c r="I892" s="3"/>
      <c r="J892" s="147"/>
      <c r="K892" s="3"/>
      <c r="L892" s="3"/>
      <c r="M892" s="146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hidden="1" customHeight="1" spans="1:29">
      <c r="A893" s="3"/>
      <c r="B893" s="3"/>
      <c r="C893" s="4"/>
      <c r="D893" s="3"/>
      <c r="E893" s="3"/>
      <c r="F893" s="3"/>
      <c r="G893" s="3"/>
      <c r="H893" s="3"/>
      <c r="I893" s="3"/>
      <c r="J893" s="147"/>
      <c r="K893" s="3"/>
      <c r="L893" s="3"/>
      <c r="M893" s="146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hidden="1" customHeight="1" spans="1:29">
      <c r="A894" s="3"/>
      <c r="B894" s="3"/>
      <c r="C894" s="4"/>
      <c r="D894" s="3"/>
      <c r="E894" s="3"/>
      <c r="F894" s="3"/>
      <c r="G894" s="3"/>
      <c r="H894" s="3"/>
      <c r="I894" s="3"/>
      <c r="J894" s="147"/>
      <c r="K894" s="3"/>
      <c r="L894" s="3"/>
      <c r="M894" s="146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hidden="1" customHeight="1" spans="1:29">
      <c r="A895" s="3"/>
      <c r="B895" s="3"/>
      <c r="C895" s="4"/>
      <c r="D895" s="3"/>
      <c r="E895" s="3"/>
      <c r="F895" s="3"/>
      <c r="G895" s="3"/>
      <c r="H895" s="3"/>
      <c r="I895" s="3"/>
      <c r="J895" s="145"/>
      <c r="K895" s="3"/>
      <c r="L895" s="3"/>
      <c r="M895" s="146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hidden="1" customHeight="1" spans="1:29">
      <c r="A896" s="3"/>
      <c r="B896" s="3"/>
      <c r="C896" s="4"/>
      <c r="D896" s="3"/>
      <c r="E896" s="3"/>
      <c r="F896" s="3"/>
      <c r="G896" s="3"/>
      <c r="H896" s="3"/>
      <c r="I896" s="3"/>
      <c r="J896" s="147"/>
      <c r="K896" s="3"/>
      <c r="L896" s="3"/>
      <c r="M896" s="146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hidden="1" customHeight="1" spans="1:29">
      <c r="A897" s="3"/>
      <c r="B897" s="3"/>
      <c r="C897" s="4"/>
      <c r="D897" s="3"/>
      <c r="E897" s="3"/>
      <c r="F897" s="3"/>
      <c r="G897" s="3"/>
      <c r="H897" s="3"/>
      <c r="I897" s="3"/>
      <c r="J897" s="147"/>
      <c r="K897" s="3"/>
      <c r="L897" s="3"/>
      <c r="M897" s="146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hidden="1" customHeight="1" spans="1:29">
      <c r="A898" s="3"/>
      <c r="B898" s="3"/>
      <c r="C898" s="4"/>
      <c r="D898" s="3"/>
      <c r="E898" s="3"/>
      <c r="F898" s="3"/>
      <c r="G898" s="3"/>
      <c r="H898" s="3"/>
      <c r="I898" s="3"/>
      <c r="J898" s="147"/>
      <c r="K898" s="3"/>
      <c r="L898" s="3"/>
      <c r="M898" s="146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hidden="1" customHeight="1" spans="1:29">
      <c r="A899" s="3"/>
      <c r="B899" s="3"/>
      <c r="C899" s="4"/>
      <c r="D899" s="3"/>
      <c r="E899" s="3"/>
      <c r="F899" s="3"/>
      <c r="G899" s="3"/>
      <c r="H899" s="3"/>
      <c r="I899" s="3"/>
      <c r="J899" s="147"/>
      <c r="K899" s="3"/>
      <c r="L899" s="3"/>
      <c r="M899" s="146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hidden="1" customHeight="1" spans="1:29">
      <c r="A900" s="3"/>
      <c r="B900" s="3"/>
      <c r="C900" s="4"/>
      <c r="D900" s="3"/>
      <c r="E900" s="3"/>
      <c r="F900" s="3"/>
      <c r="G900" s="3"/>
      <c r="H900" s="3"/>
      <c r="I900" s="3"/>
      <c r="J900" s="145"/>
      <c r="K900" s="3"/>
      <c r="L900" s="3"/>
      <c r="M900" s="146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hidden="1" customHeight="1" spans="1:29">
      <c r="A901" s="3"/>
      <c r="B901" s="3"/>
      <c r="C901" s="4"/>
      <c r="D901" s="3"/>
      <c r="E901" s="3"/>
      <c r="F901" s="3"/>
      <c r="G901" s="3"/>
      <c r="H901" s="3"/>
      <c r="I901" s="3"/>
      <c r="J901" s="145"/>
      <c r="K901" s="3"/>
      <c r="L901" s="3"/>
      <c r="M901" s="146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hidden="1" customHeight="1" spans="1:29">
      <c r="A902" s="3"/>
      <c r="B902" s="3"/>
      <c r="C902" s="4"/>
      <c r="D902" s="3"/>
      <c r="E902" s="3"/>
      <c r="F902" s="3"/>
      <c r="G902" s="3"/>
      <c r="H902" s="3"/>
      <c r="I902" s="3"/>
      <c r="J902" s="147"/>
      <c r="K902" s="3"/>
      <c r="L902" s="3"/>
      <c r="M902" s="146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hidden="1" customHeight="1" spans="1:29">
      <c r="A903" s="3"/>
      <c r="B903" s="3"/>
      <c r="C903" s="4"/>
      <c r="D903" s="3"/>
      <c r="E903" s="3"/>
      <c r="F903" s="3"/>
      <c r="G903" s="3"/>
      <c r="H903" s="3"/>
      <c r="I903" s="3"/>
      <c r="J903" s="147"/>
      <c r="K903" s="3"/>
      <c r="L903" s="3"/>
      <c r="M903" s="146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hidden="1" customHeight="1" spans="1:29">
      <c r="A904" s="3"/>
      <c r="B904" s="3"/>
      <c r="C904" s="4"/>
      <c r="D904" s="3"/>
      <c r="E904" s="3"/>
      <c r="F904" s="3"/>
      <c r="G904" s="3"/>
      <c r="H904" s="3"/>
      <c r="I904" s="3"/>
      <c r="J904" s="147"/>
      <c r="K904" s="3"/>
      <c r="L904" s="3"/>
      <c r="M904" s="146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hidden="1" customHeight="1" spans="1:29">
      <c r="A905" s="3"/>
      <c r="B905" s="3"/>
      <c r="C905" s="4"/>
      <c r="D905" s="3"/>
      <c r="E905" s="3"/>
      <c r="F905" s="3"/>
      <c r="G905" s="3"/>
      <c r="H905" s="3"/>
      <c r="I905" s="3"/>
      <c r="J905" s="147"/>
      <c r="K905" s="3"/>
      <c r="L905" s="3"/>
      <c r="M905" s="146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hidden="1" customHeight="1" spans="1:29">
      <c r="A906" s="3"/>
      <c r="B906" s="3"/>
      <c r="C906" s="4"/>
      <c r="D906" s="3"/>
      <c r="E906" s="3"/>
      <c r="F906" s="3"/>
      <c r="G906" s="3"/>
      <c r="H906" s="3"/>
      <c r="I906" s="3"/>
      <c r="J906" s="147"/>
      <c r="K906" s="3"/>
      <c r="L906" s="3"/>
      <c r="M906" s="146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hidden="1" customHeight="1" spans="1:29">
      <c r="A907" s="3"/>
      <c r="B907" s="3"/>
      <c r="C907" s="4"/>
      <c r="D907" s="3"/>
      <c r="E907" s="3"/>
      <c r="F907" s="3"/>
      <c r="G907" s="3"/>
      <c r="H907" s="3"/>
      <c r="I907" s="3"/>
      <c r="J907" s="147"/>
      <c r="K907" s="3"/>
      <c r="L907" s="3"/>
      <c r="M907" s="146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hidden="1" customHeight="1" spans="1:29">
      <c r="A908" s="3"/>
      <c r="B908" s="3"/>
      <c r="C908" s="4"/>
      <c r="D908" s="3"/>
      <c r="E908" s="3"/>
      <c r="F908" s="3"/>
      <c r="G908" s="3"/>
      <c r="H908" s="3"/>
      <c r="I908" s="3"/>
      <c r="J908" s="147"/>
      <c r="K908" s="3"/>
      <c r="L908" s="3"/>
      <c r="M908" s="146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hidden="1" customHeight="1" spans="1:29">
      <c r="A909" s="3"/>
      <c r="B909" s="3"/>
      <c r="C909" s="4"/>
      <c r="D909" s="3"/>
      <c r="E909" s="3"/>
      <c r="F909" s="3"/>
      <c r="G909" s="3"/>
      <c r="H909" s="3"/>
      <c r="I909" s="3"/>
      <c r="J909" s="147"/>
      <c r="K909" s="3"/>
      <c r="L909" s="3"/>
      <c r="M909" s="146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hidden="1" customHeight="1" spans="1:29">
      <c r="A910" s="3"/>
      <c r="B910" s="3"/>
      <c r="C910" s="4"/>
      <c r="D910" s="3"/>
      <c r="E910" s="3"/>
      <c r="F910" s="3"/>
      <c r="G910" s="3"/>
      <c r="H910" s="3"/>
      <c r="I910" s="3"/>
      <c r="J910" s="145"/>
      <c r="K910" s="3"/>
      <c r="L910" s="3"/>
      <c r="M910" s="146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hidden="1" customHeight="1" spans="1:29">
      <c r="A911" s="3"/>
      <c r="B911" s="3"/>
      <c r="C911" s="4"/>
      <c r="D911" s="3"/>
      <c r="E911" s="3"/>
      <c r="F911" s="3"/>
      <c r="G911" s="3"/>
      <c r="H911" s="3"/>
      <c r="I911" s="3"/>
      <c r="J911" s="145"/>
      <c r="K911" s="3"/>
      <c r="L911" s="3"/>
      <c r="M911" s="146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hidden="1" customHeight="1" spans="1:29">
      <c r="A912" s="3"/>
      <c r="B912" s="3"/>
      <c r="C912" s="4"/>
      <c r="D912" s="3"/>
      <c r="E912" s="3"/>
      <c r="F912" s="3"/>
      <c r="G912" s="3"/>
      <c r="H912" s="3"/>
      <c r="I912" s="3"/>
      <c r="J912" s="147"/>
      <c r="K912" s="3"/>
      <c r="L912" s="3"/>
      <c r="M912" s="146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hidden="1" customHeight="1" spans="1:29">
      <c r="A913" s="3"/>
      <c r="B913" s="3"/>
      <c r="C913" s="4"/>
      <c r="D913" s="3"/>
      <c r="E913" s="3"/>
      <c r="F913" s="3"/>
      <c r="G913" s="3"/>
      <c r="H913" s="3"/>
      <c r="I913" s="3"/>
      <c r="J913" s="147"/>
      <c r="K913" s="3"/>
      <c r="L913" s="3"/>
      <c r="M913" s="146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hidden="1" customHeight="1" spans="1:29">
      <c r="A914" s="3"/>
      <c r="B914" s="3"/>
      <c r="C914" s="4"/>
      <c r="D914" s="3"/>
      <c r="E914" s="3"/>
      <c r="F914" s="3"/>
      <c r="G914" s="3"/>
      <c r="H914" s="3"/>
      <c r="I914" s="3"/>
      <c r="J914" s="145"/>
      <c r="K914" s="3"/>
      <c r="L914" s="3"/>
      <c r="M914" s="146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hidden="1" customHeight="1" spans="1:29">
      <c r="A915" s="3"/>
      <c r="B915" s="3"/>
      <c r="C915" s="4"/>
      <c r="D915" s="3"/>
      <c r="E915" s="3"/>
      <c r="F915" s="3"/>
      <c r="G915" s="3"/>
      <c r="H915" s="3"/>
      <c r="I915" s="3"/>
      <c r="J915" s="147"/>
      <c r="K915" s="3"/>
      <c r="L915" s="3"/>
      <c r="M915" s="146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hidden="1" customHeight="1" spans="1:29">
      <c r="A916" s="3"/>
      <c r="B916" s="3"/>
      <c r="C916" s="4"/>
      <c r="D916" s="3"/>
      <c r="E916" s="3"/>
      <c r="F916" s="3"/>
      <c r="G916" s="3"/>
      <c r="H916" s="3"/>
      <c r="I916" s="3"/>
      <c r="J916" s="145"/>
      <c r="K916" s="3"/>
      <c r="L916" s="3"/>
      <c r="M916" s="146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hidden="1" customHeight="1" spans="1:29">
      <c r="A917" s="3"/>
      <c r="B917" s="3"/>
      <c r="C917" s="4"/>
      <c r="D917" s="3"/>
      <c r="E917" s="3"/>
      <c r="F917" s="3"/>
      <c r="G917" s="3"/>
      <c r="H917" s="3"/>
      <c r="I917" s="3"/>
      <c r="J917" s="145"/>
      <c r="K917" s="3"/>
      <c r="L917" s="3"/>
      <c r="M917" s="146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hidden="1" customHeight="1" spans="1:29">
      <c r="A918" s="3"/>
      <c r="B918" s="3"/>
      <c r="C918" s="4"/>
      <c r="D918" s="3"/>
      <c r="E918" s="3"/>
      <c r="F918" s="3"/>
      <c r="G918" s="3"/>
      <c r="H918" s="3"/>
      <c r="I918" s="3"/>
      <c r="J918" s="147"/>
      <c r="K918" s="3"/>
      <c r="L918" s="3"/>
      <c r="M918" s="146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hidden="1" customHeight="1" spans="1:29">
      <c r="A919" s="3"/>
      <c r="B919" s="3"/>
      <c r="C919" s="4"/>
      <c r="D919" s="3"/>
      <c r="E919" s="3"/>
      <c r="F919" s="3"/>
      <c r="G919" s="3"/>
      <c r="H919" s="3"/>
      <c r="I919" s="3"/>
      <c r="J919" s="147"/>
      <c r="K919" s="3"/>
      <c r="L919" s="3"/>
      <c r="M919" s="146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hidden="1" customHeight="1" spans="1:29">
      <c r="A920" s="3"/>
      <c r="B920" s="3"/>
      <c r="C920" s="4"/>
      <c r="D920" s="3"/>
      <c r="E920" s="3"/>
      <c r="F920" s="3"/>
      <c r="G920" s="3"/>
      <c r="H920" s="3"/>
      <c r="I920" s="3"/>
      <c r="J920" s="147"/>
      <c r="K920" s="3"/>
      <c r="L920" s="3"/>
      <c r="M920" s="146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hidden="1" customHeight="1" spans="1:29">
      <c r="A921" s="3"/>
      <c r="B921" s="3"/>
      <c r="C921" s="4"/>
      <c r="D921" s="3"/>
      <c r="E921" s="3"/>
      <c r="F921" s="3"/>
      <c r="G921" s="3"/>
      <c r="H921" s="3"/>
      <c r="I921" s="3"/>
      <c r="J921" s="147"/>
      <c r="K921" s="3"/>
      <c r="L921" s="3"/>
      <c r="M921" s="146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hidden="1" customHeight="1" spans="1:29">
      <c r="A922" s="3"/>
      <c r="B922" s="3"/>
      <c r="C922" s="4"/>
      <c r="D922" s="3"/>
      <c r="E922" s="3"/>
      <c r="F922" s="3"/>
      <c r="G922" s="3"/>
      <c r="H922" s="3"/>
      <c r="I922" s="3"/>
      <c r="J922" s="147"/>
      <c r="K922" s="3"/>
      <c r="L922" s="3"/>
      <c r="M922" s="146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hidden="1" customHeight="1" spans="1:29">
      <c r="A923" s="3"/>
      <c r="B923" s="3"/>
      <c r="C923" s="4"/>
      <c r="D923" s="3"/>
      <c r="E923" s="3"/>
      <c r="F923" s="3"/>
      <c r="G923" s="3"/>
      <c r="H923" s="3"/>
      <c r="I923" s="3"/>
      <c r="J923" s="147"/>
      <c r="K923" s="3"/>
      <c r="L923" s="3"/>
      <c r="M923" s="146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hidden="1" customHeight="1" spans="1:29">
      <c r="A924" s="3"/>
      <c r="B924" s="3"/>
      <c r="C924" s="4"/>
      <c r="D924" s="3"/>
      <c r="E924" s="3"/>
      <c r="F924" s="3"/>
      <c r="G924" s="3"/>
      <c r="H924" s="3"/>
      <c r="I924" s="3"/>
      <c r="J924" s="145"/>
      <c r="K924" s="3"/>
      <c r="L924" s="3"/>
      <c r="M924" s="146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hidden="1" customHeight="1" spans="1:29">
      <c r="A925" s="3"/>
      <c r="B925" s="3"/>
      <c r="C925" s="4"/>
      <c r="D925" s="3"/>
      <c r="E925" s="3"/>
      <c r="F925" s="3"/>
      <c r="G925" s="3"/>
      <c r="H925" s="3"/>
      <c r="I925" s="3"/>
      <c r="J925" s="147"/>
      <c r="K925" s="3"/>
      <c r="L925" s="3"/>
      <c r="M925" s="146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hidden="1" customHeight="1" spans="1:29">
      <c r="A926" s="3"/>
      <c r="B926" s="3"/>
      <c r="C926" s="4"/>
      <c r="D926" s="3"/>
      <c r="E926" s="3"/>
      <c r="F926" s="3"/>
      <c r="G926" s="3"/>
      <c r="H926" s="3"/>
      <c r="I926" s="3"/>
      <c r="J926" s="147"/>
      <c r="K926" s="3"/>
      <c r="L926" s="3"/>
      <c r="M926" s="146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hidden="1" customHeight="1" spans="1:29">
      <c r="A927" s="3"/>
      <c r="B927" s="3"/>
      <c r="C927" s="4"/>
      <c r="D927" s="3"/>
      <c r="E927" s="3"/>
      <c r="F927" s="3"/>
      <c r="G927" s="3"/>
      <c r="H927" s="3"/>
      <c r="I927" s="3"/>
      <c r="J927" s="147"/>
      <c r="K927" s="3"/>
      <c r="L927" s="3"/>
      <c r="M927" s="146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hidden="1" customHeight="1" spans="1:29">
      <c r="A928" s="3"/>
      <c r="B928" s="3"/>
      <c r="C928" s="4"/>
      <c r="D928" s="3"/>
      <c r="E928" s="3"/>
      <c r="F928" s="3"/>
      <c r="G928" s="3"/>
      <c r="H928" s="3"/>
      <c r="I928" s="3"/>
      <c r="J928" s="147"/>
      <c r="K928" s="3"/>
      <c r="L928" s="3"/>
      <c r="M928" s="146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hidden="1" customHeight="1" spans="1:29">
      <c r="A929" s="3"/>
      <c r="B929" s="3"/>
      <c r="C929" s="4"/>
      <c r="D929" s="3"/>
      <c r="E929" s="3"/>
      <c r="F929" s="3"/>
      <c r="G929" s="3"/>
      <c r="H929" s="3"/>
      <c r="I929" s="3"/>
      <c r="J929" s="147"/>
      <c r="K929" s="3"/>
      <c r="L929" s="3"/>
      <c r="M929" s="146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hidden="1" customHeight="1" spans="1:29">
      <c r="A930" s="3"/>
      <c r="B930" s="3"/>
      <c r="C930" s="4"/>
      <c r="D930" s="3"/>
      <c r="E930" s="3"/>
      <c r="F930" s="3"/>
      <c r="G930" s="3"/>
      <c r="H930" s="3"/>
      <c r="I930" s="3"/>
      <c r="J930" s="147"/>
      <c r="K930" s="3"/>
      <c r="L930" s="3"/>
      <c r="M930" s="146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hidden="1" customHeight="1" spans="1:29">
      <c r="A931" s="3"/>
      <c r="B931" s="3"/>
      <c r="C931" s="4"/>
      <c r="D931" s="3"/>
      <c r="E931" s="3"/>
      <c r="F931" s="3"/>
      <c r="G931" s="3"/>
      <c r="H931" s="3"/>
      <c r="I931" s="3"/>
      <c r="J931" s="147"/>
      <c r="K931" s="3"/>
      <c r="L931" s="3"/>
      <c r="M931" s="146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hidden="1" customHeight="1" spans="1:29">
      <c r="A932" s="3"/>
      <c r="B932" s="3"/>
      <c r="C932" s="4"/>
      <c r="D932" s="3"/>
      <c r="E932" s="3"/>
      <c r="F932" s="3"/>
      <c r="G932" s="3"/>
      <c r="H932" s="3"/>
      <c r="I932" s="3"/>
      <c r="J932" s="147"/>
      <c r="K932" s="3"/>
      <c r="L932" s="3"/>
      <c r="M932" s="146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hidden="1" customHeight="1" spans="1:29">
      <c r="A933" s="3"/>
      <c r="B933" s="3"/>
      <c r="C933" s="4"/>
      <c r="D933" s="3"/>
      <c r="E933" s="3"/>
      <c r="F933" s="3"/>
      <c r="G933" s="3"/>
      <c r="H933" s="3"/>
      <c r="I933" s="3"/>
      <c r="J933" s="147"/>
      <c r="K933" s="3"/>
      <c r="L933" s="3"/>
      <c r="M933" s="146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hidden="1" customHeight="1" spans="1:29">
      <c r="A934" s="3"/>
      <c r="B934" s="3"/>
      <c r="C934" s="4"/>
      <c r="D934" s="3"/>
      <c r="E934" s="3"/>
      <c r="F934" s="3"/>
      <c r="G934" s="3"/>
      <c r="H934" s="3"/>
      <c r="I934" s="3"/>
      <c r="J934" s="147"/>
      <c r="K934" s="3"/>
      <c r="L934" s="3"/>
      <c r="M934" s="146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hidden="1" customHeight="1" spans="1:29">
      <c r="A935" s="3"/>
      <c r="B935" s="3"/>
      <c r="C935" s="4"/>
      <c r="D935" s="3"/>
      <c r="E935" s="3"/>
      <c r="F935" s="3"/>
      <c r="G935" s="3"/>
      <c r="H935" s="3"/>
      <c r="I935" s="3"/>
      <c r="J935" s="147"/>
      <c r="K935" s="3"/>
      <c r="L935" s="3"/>
      <c r="M935" s="146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hidden="1" customHeight="1" spans="1:29">
      <c r="A936" s="3"/>
      <c r="B936" s="3"/>
      <c r="C936" s="4"/>
      <c r="D936" s="3"/>
      <c r="E936" s="3"/>
      <c r="F936" s="3"/>
      <c r="G936" s="3"/>
      <c r="H936" s="3"/>
      <c r="I936" s="3"/>
      <c r="J936" s="147"/>
      <c r="K936" s="3"/>
      <c r="L936" s="3"/>
      <c r="M936" s="146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hidden="1" customHeight="1" spans="1:29">
      <c r="A937" s="3"/>
      <c r="B937" s="3"/>
      <c r="C937" s="4"/>
      <c r="D937" s="3"/>
      <c r="E937" s="3"/>
      <c r="F937" s="3"/>
      <c r="G937" s="3"/>
      <c r="H937" s="3"/>
      <c r="I937" s="3"/>
      <c r="J937" s="147"/>
      <c r="K937" s="3"/>
      <c r="L937" s="3"/>
      <c r="M937" s="146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hidden="1" customHeight="1" spans="1:29">
      <c r="A938" s="3"/>
      <c r="B938" s="3"/>
      <c r="C938" s="4"/>
      <c r="D938" s="3"/>
      <c r="E938" s="3"/>
      <c r="F938" s="3"/>
      <c r="G938" s="3"/>
      <c r="H938" s="3"/>
      <c r="I938" s="3"/>
      <c r="J938" s="147"/>
      <c r="K938" s="3"/>
      <c r="L938" s="3"/>
      <c r="M938" s="146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hidden="1" customHeight="1" spans="1:29">
      <c r="A939" s="3"/>
      <c r="B939" s="3"/>
      <c r="C939" s="4"/>
      <c r="D939" s="3"/>
      <c r="E939" s="3"/>
      <c r="F939" s="3"/>
      <c r="G939" s="3"/>
      <c r="H939" s="3"/>
      <c r="I939" s="3"/>
      <c r="J939" s="145"/>
      <c r="K939" s="3"/>
      <c r="L939" s="3"/>
      <c r="M939" s="146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hidden="1" customHeight="1" spans="1:29">
      <c r="A940" s="3"/>
      <c r="B940" s="3"/>
      <c r="C940" s="4"/>
      <c r="D940" s="3"/>
      <c r="E940" s="3"/>
      <c r="F940" s="3"/>
      <c r="G940" s="3"/>
      <c r="H940" s="3"/>
      <c r="I940" s="3"/>
      <c r="J940" s="147"/>
      <c r="K940" s="3"/>
      <c r="L940" s="3"/>
      <c r="M940" s="146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hidden="1" customHeight="1" spans="1:29">
      <c r="A941" s="3"/>
      <c r="B941" s="3"/>
      <c r="C941" s="4"/>
      <c r="D941" s="3"/>
      <c r="E941" s="3"/>
      <c r="F941" s="3"/>
      <c r="G941" s="3"/>
      <c r="H941" s="3"/>
      <c r="I941" s="3"/>
      <c r="J941" s="147"/>
      <c r="K941" s="3"/>
      <c r="L941" s="3"/>
      <c r="M941" s="146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hidden="1" customHeight="1" spans="1:29">
      <c r="A942" s="3"/>
      <c r="B942" s="3"/>
      <c r="C942" s="4"/>
      <c r="D942" s="3"/>
      <c r="E942" s="3"/>
      <c r="F942" s="3"/>
      <c r="G942" s="3"/>
      <c r="H942" s="3"/>
      <c r="I942" s="3"/>
      <c r="J942" s="147"/>
      <c r="K942" s="3"/>
      <c r="L942" s="3"/>
      <c r="M942" s="146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hidden="1" customHeight="1" spans="1:29">
      <c r="A943" s="3"/>
      <c r="B943" s="3"/>
      <c r="C943" s="4"/>
      <c r="D943" s="3"/>
      <c r="E943" s="3"/>
      <c r="F943" s="3"/>
      <c r="G943" s="3"/>
      <c r="H943" s="3"/>
      <c r="I943" s="3"/>
      <c r="J943" s="147"/>
      <c r="K943" s="3"/>
      <c r="L943" s="3"/>
      <c r="M943" s="146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hidden="1" customHeight="1" spans="1:29">
      <c r="A944" s="3"/>
      <c r="B944" s="3"/>
      <c r="C944" s="4"/>
      <c r="D944" s="3"/>
      <c r="E944" s="3"/>
      <c r="F944" s="3"/>
      <c r="G944" s="3"/>
      <c r="H944" s="3"/>
      <c r="I944" s="3"/>
      <c r="J944" s="147"/>
      <c r="K944" s="3"/>
      <c r="L944" s="3"/>
      <c r="M944" s="146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hidden="1" customHeight="1" spans="1:29">
      <c r="A945" s="3"/>
      <c r="B945" s="3"/>
      <c r="C945" s="4"/>
      <c r="D945" s="3"/>
      <c r="E945" s="3"/>
      <c r="F945" s="3"/>
      <c r="G945" s="3"/>
      <c r="H945" s="3"/>
      <c r="I945" s="3"/>
      <c r="J945" s="147"/>
      <c r="K945" s="3"/>
      <c r="L945" s="3"/>
      <c r="M945" s="146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hidden="1" customHeight="1" spans="1:29">
      <c r="A946" s="3"/>
      <c r="B946" s="3"/>
      <c r="C946" s="4"/>
      <c r="D946" s="3"/>
      <c r="E946" s="3"/>
      <c r="F946" s="3"/>
      <c r="G946" s="3"/>
      <c r="H946" s="3"/>
      <c r="I946" s="3"/>
      <c r="J946" s="145"/>
      <c r="K946" s="3"/>
      <c r="L946" s="3"/>
      <c r="M946" s="146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hidden="1" customHeight="1" spans="1:29">
      <c r="A947" s="3"/>
      <c r="B947" s="3"/>
      <c r="C947" s="4"/>
      <c r="D947" s="3"/>
      <c r="E947" s="3"/>
      <c r="F947" s="3"/>
      <c r="G947" s="3"/>
      <c r="H947" s="3"/>
      <c r="I947" s="3"/>
      <c r="J947" s="145"/>
      <c r="K947" s="3"/>
      <c r="L947" s="3"/>
      <c r="M947" s="146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hidden="1" customHeight="1" spans="1:29">
      <c r="A948" s="3"/>
      <c r="B948" s="3"/>
      <c r="C948" s="4"/>
      <c r="D948" s="3"/>
      <c r="E948" s="3"/>
      <c r="F948" s="3"/>
      <c r="G948" s="3"/>
      <c r="H948" s="3"/>
      <c r="I948" s="3"/>
      <c r="J948" s="145"/>
      <c r="K948" s="3"/>
      <c r="L948" s="3"/>
      <c r="M948" s="146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hidden="1" customHeight="1" spans="1:29">
      <c r="A949" s="3"/>
      <c r="B949" s="3"/>
      <c r="C949" s="4"/>
      <c r="D949" s="3"/>
      <c r="E949" s="3"/>
      <c r="F949" s="3"/>
      <c r="G949" s="3"/>
      <c r="H949" s="3"/>
      <c r="I949" s="3"/>
      <c r="J949" s="145"/>
      <c r="K949" s="3"/>
      <c r="L949" s="3"/>
      <c r="M949" s="146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hidden="1" customHeight="1" spans="1:29">
      <c r="A950" s="3"/>
      <c r="B950" s="3"/>
      <c r="C950" s="4"/>
      <c r="D950" s="3"/>
      <c r="E950" s="3"/>
      <c r="F950" s="3"/>
      <c r="G950" s="3"/>
      <c r="H950" s="3"/>
      <c r="I950" s="3"/>
      <c r="J950" s="145"/>
      <c r="K950" s="3"/>
      <c r="L950" s="3"/>
      <c r="M950" s="146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hidden="1" customHeight="1" spans="1:29">
      <c r="A951" s="3"/>
      <c r="B951" s="3"/>
      <c r="C951" s="4"/>
      <c r="D951" s="3"/>
      <c r="E951" s="3"/>
      <c r="F951" s="3"/>
      <c r="G951" s="3"/>
      <c r="H951" s="3"/>
      <c r="I951" s="3"/>
      <c r="J951" s="147"/>
      <c r="K951" s="3"/>
      <c r="L951" s="3"/>
      <c r="M951" s="146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hidden="1" customHeight="1" spans="1:29">
      <c r="A952" s="3"/>
      <c r="B952" s="3"/>
      <c r="C952" s="4"/>
      <c r="D952" s="3"/>
      <c r="E952" s="3"/>
      <c r="F952" s="3"/>
      <c r="G952" s="3"/>
      <c r="H952" s="3"/>
      <c r="I952" s="3"/>
      <c r="J952" s="147"/>
      <c r="K952" s="3"/>
      <c r="L952" s="3"/>
      <c r="M952" s="146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hidden="1" customHeight="1" spans="1:29">
      <c r="A953" s="3"/>
      <c r="B953" s="3"/>
      <c r="C953" s="4"/>
      <c r="D953" s="3"/>
      <c r="E953" s="3"/>
      <c r="F953" s="3"/>
      <c r="G953" s="3"/>
      <c r="H953" s="3"/>
      <c r="I953" s="3"/>
      <c r="J953" s="147"/>
      <c r="K953" s="3"/>
      <c r="L953" s="3"/>
      <c r="M953" s="146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hidden="1" customHeight="1" spans="1:29">
      <c r="A954" s="3"/>
      <c r="B954" s="3"/>
      <c r="C954" s="4"/>
      <c r="D954" s="3"/>
      <c r="E954" s="3"/>
      <c r="F954" s="3"/>
      <c r="G954" s="3"/>
      <c r="H954" s="3"/>
      <c r="I954" s="3"/>
      <c r="J954" s="147"/>
      <c r="K954" s="3"/>
      <c r="L954" s="3"/>
      <c r="M954" s="146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hidden="1" customHeight="1" spans="1:29">
      <c r="A955" s="3"/>
      <c r="B955" s="3"/>
      <c r="C955" s="4"/>
      <c r="D955" s="3"/>
      <c r="E955" s="3"/>
      <c r="F955" s="3"/>
      <c r="G955" s="3"/>
      <c r="H955" s="3"/>
      <c r="I955" s="3"/>
      <c r="J955" s="147"/>
      <c r="K955" s="3"/>
      <c r="L955" s="3"/>
      <c r="M955" s="146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hidden="1" customHeight="1" spans="1:29">
      <c r="A956" s="3"/>
      <c r="B956" s="3"/>
      <c r="C956" s="4"/>
      <c r="D956" s="3"/>
      <c r="E956" s="3"/>
      <c r="F956" s="3"/>
      <c r="G956" s="3"/>
      <c r="H956" s="3"/>
      <c r="I956" s="3"/>
      <c r="J956" s="147"/>
      <c r="K956" s="3"/>
      <c r="L956" s="3"/>
      <c r="M956" s="146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hidden="1" customHeight="1" spans="1:29">
      <c r="A957" s="3"/>
      <c r="B957" s="3"/>
      <c r="C957" s="4"/>
      <c r="D957" s="3"/>
      <c r="E957" s="3"/>
      <c r="F957" s="3"/>
      <c r="G957" s="3"/>
      <c r="H957" s="3"/>
      <c r="I957" s="3"/>
      <c r="J957" s="147"/>
      <c r="K957" s="3"/>
      <c r="L957" s="3"/>
      <c r="M957" s="146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ht="15.75" hidden="1" customHeight="1" spans="1:29">
      <c r="A958" s="3"/>
      <c r="B958" s="3"/>
      <c r="C958" s="4"/>
      <c r="D958" s="3"/>
      <c r="E958" s="3"/>
      <c r="F958" s="3"/>
      <c r="G958" s="3"/>
      <c r="H958" s="3"/>
      <c r="I958" s="3"/>
      <c r="J958" s="147"/>
      <c r="K958" s="3"/>
      <c r="L958" s="3"/>
      <c r="M958" s="146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ht="15.75" hidden="1" customHeight="1" spans="1:29">
      <c r="A959" s="3"/>
      <c r="B959" s="3"/>
      <c r="C959" s="4"/>
      <c r="D959" s="3"/>
      <c r="E959" s="3"/>
      <c r="F959" s="3"/>
      <c r="G959" s="3"/>
      <c r="H959" s="3"/>
      <c r="I959" s="3"/>
      <c r="J959" s="147"/>
      <c r="K959" s="3"/>
      <c r="L959" s="3"/>
      <c r="M959" s="146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ht="15.75" hidden="1" customHeight="1" spans="1:29">
      <c r="A960" s="3"/>
      <c r="B960" s="3"/>
      <c r="C960" s="4"/>
      <c r="D960" s="3"/>
      <c r="E960" s="3"/>
      <c r="F960" s="3"/>
      <c r="G960" s="3"/>
      <c r="H960" s="3"/>
      <c r="I960" s="3"/>
      <c r="J960" s="147"/>
      <c r="K960" s="3"/>
      <c r="L960" s="3"/>
      <c r="M960" s="146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ht="15.75" hidden="1" customHeight="1" spans="1:29">
      <c r="A961" s="3"/>
      <c r="B961" s="3"/>
      <c r="C961" s="4"/>
      <c r="D961" s="3"/>
      <c r="E961" s="3"/>
      <c r="F961" s="3"/>
      <c r="G961" s="3"/>
      <c r="H961" s="3"/>
      <c r="I961" s="3"/>
      <c r="J961" s="147"/>
      <c r="K961" s="3"/>
      <c r="L961" s="3"/>
      <c r="M961" s="146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ht="15.75" hidden="1" customHeight="1" spans="1:29">
      <c r="A962" s="3"/>
      <c r="B962" s="3"/>
      <c r="C962" s="4"/>
      <c r="D962" s="3"/>
      <c r="E962" s="3"/>
      <c r="F962" s="3"/>
      <c r="G962" s="3"/>
      <c r="H962" s="3"/>
      <c r="I962" s="3"/>
      <c r="J962" s="147"/>
      <c r="K962" s="3"/>
      <c r="L962" s="3"/>
      <c r="M962" s="146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ht="15.75" hidden="1" customHeight="1" spans="1:29">
      <c r="A963" s="3"/>
      <c r="B963" s="3"/>
      <c r="C963" s="4"/>
      <c r="D963" s="3"/>
      <c r="E963" s="3"/>
      <c r="F963" s="3"/>
      <c r="G963" s="3"/>
      <c r="H963" s="3"/>
      <c r="I963" s="3"/>
      <c r="J963" s="147"/>
      <c r="K963" s="3"/>
      <c r="L963" s="3"/>
      <c r="M963" s="146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ht="15.75" hidden="1" customHeight="1" spans="1:29">
      <c r="A964" s="3"/>
      <c r="B964" s="3"/>
      <c r="C964" s="4"/>
      <c r="D964" s="3"/>
      <c r="E964" s="3"/>
      <c r="F964" s="3"/>
      <c r="G964" s="3"/>
      <c r="H964" s="3"/>
      <c r="I964" s="3"/>
      <c r="J964" s="145"/>
      <c r="K964" s="3"/>
      <c r="L964" s="3"/>
      <c r="M964" s="146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ht="15.75" hidden="1" customHeight="1" spans="1:29">
      <c r="A965" s="3"/>
      <c r="B965" s="3"/>
      <c r="C965" s="4"/>
      <c r="D965" s="3"/>
      <c r="E965" s="3"/>
      <c r="F965" s="3"/>
      <c r="G965" s="3"/>
      <c r="H965" s="3"/>
      <c r="I965" s="3"/>
      <c r="J965" s="145"/>
      <c r="K965" s="3"/>
      <c r="L965" s="3"/>
      <c r="M965" s="146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ht="15.75" hidden="1" customHeight="1" spans="1:29">
      <c r="A966" s="3"/>
      <c r="B966" s="3"/>
      <c r="C966" s="4"/>
      <c r="D966" s="3"/>
      <c r="E966" s="3"/>
      <c r="F966" s="3"/>
      <c r="G966" s="3"/>
      <c r="H966" s="3"/>
      <c r="I966" s="3"/>
      <c r="J966" s="147"/>
      <c r="K966" s="3"/>
      <c r="L966" s="3"/>
      <c r="M966" s="146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ht="15.75" hidden="1" customHeight="1" spans="1:29">
      <c r="A967" s="3"/>
      <c r="B967" s="3"/>
      <c r="C967" s="4"/>
      <c r="D967" s="3"/>
      <c r="E967" s="3"/>
      <c r="F967" s="3"/>
      <c r="G967" s="3"/>
      <c r="H967" s="3"/>
      <c r="I967" s="3"/>
      <c r="J967" s="147"/>
      <c r="K967" s="3"/>
      <c r="L967" s="3"/>
      <c r="M967" s="146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ht="15.75" hidden="1" customHeight="1" spans="1:29">
      <c r="A968" s="3"/>
      <c r="B968" s="3"/>
      <c r="C968" s="4"/>
      <c r="D968" s="3"/>
      <c r="E968" s="3"/>
      <c r="F968" s="3"/>
      <c r="G968" s="3"/>
      <c r="H968" s="3"/>
      <c r="I968" s="3"/>
      <c r="J968" s="147"/>
      <c r="K968" s="3"/>
      <c r="L968" s="3"/>
      <c r="M968" s="146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ht="15.75" hidden="1" customHeight="1" spans="1:29">
      <c r="A969" s="3"/>
      <c r="B969" s="3"/>
      <c r="C969" s="4"/>
      <c r="D969" s="3"/>
      <c r="E969" s="3"/>
      <c r="F969" s="3"/>
      <c r="G969" s="3"/>
      <c r="H969" s="3"/>
      <c r="I969" s="3"/>
      <c r="J969" s="147"/>
      <c r="K969" s="3"/>
      <c r="L969" s="3"/>
      <c r="M969" s="146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ht="15.75" hidden="1" customHeight="1" spans="1:29">
      <c r="A970" s="3"/>
      <c r="B970" s="3"/>
      <c r="C970" s="4"/>
      <c r="D970" s="3"/>
      <c r="E970" s="3"/>
      <c r="F970" s="3"/>
      <c r="G970" s="3"/>
      <c r="H970" s="3"/>
      <c r="I970" s="3"/>
      <c r="J970" s="145"/>
      <c r="K970" s="3"/>
      <c r="L970" s="3"/>
      <c r="M970" s="146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ht="15.75" hidden="1" customHeight="1" spans="1:29">
      <c r="A971" s="3"/>
      <c r="B971" s="3"/>
      <c r="C971" s="4"/>
      <c r="D971" s="3"/>
      <c r="E971" s="3"/>
      <c r="F971" s="3"/>
      <c r="G971" s="3"/>
      <c r="H971" s="3"/>
      <c r="I971" s="3"/>
      <c r="J971" s="145"/>
      <c r="K971" s="3"/>
      <c r="L971" s="3"/>
      <c r="M971" s="146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ht="15.75" hidden="1" customHeight="1" spans="1:29">
      <c r="A972" s="3"/>
      <c r="B972" s="3"/>
      <c r="C972" s="4"/>
      <c r="D972" s="3"/>
      <c r="E972" s="3"/>
      <c r="F972" s="3"/>
      <c r="G972" s="3"/>
      <c r="H972" s="3"/>
      <c r="I972" s="3"/>
      <c r="J972" s="145"/>
      <c r="K972" s="3"/>
      <c r="L972" s="3"/>
      <c r="M972" s="146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ht="15.75" hidden="1" customHeight="1" spans="1:29">
      <c r="A973" s="3"/>
      <c r="B973" s="3"/>
      <c r="C973" s="4"/>
      <c r="D973" s="3"/>
      <c r="E973" s="3"/>
      <c r="F973" s="3"/>
      <c r="G973" s="3"/>
      <c r="H973" s="3"/>
      <c r="I973" s="3"/>
      <c r="J973" s="145"/>
      <c r="K973" s="3"/>
      <c r="L973" s="3"/>
      <c r="M973" s="146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ht="15.75" hidden="1" customHeight="1" spans="1:29">
      <c r="A974" s="3"/>
      <c r="B974" s="3"/>
      <c r="C974" s="4"/>
      <c r="D974" s="3"/>
      <c r="E974" s="3"/>
      <c r="F974" s="3"/>
      <c r="G974" s="3"/>
      <c r="H974" s="3"/>
      <c r="I974" s="3"/>
      <c r="J974" s="145"/>
      <c r="K974" s="3"/>
      <c r="L974" s="3"/>
      <c r="M974" s="146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ht="15.75" hidden="1" customHeight="1" spans="1:29">
      <c r="A975" s="3"/>
      <c r="B975" s="3"/>
      <c r="C975" s="4"/>
      <c r="D975" s="3"/>
      <c r="E975" s="3"/>
      <c r="F975" s="3"/>
      <c r="G975" s="3"/>
      <c r="H975" s="3"/>
      <c r="I975" s="3"/>
      <c r="J975" s="145"/>
      <c r="K975" s="3"/>
      <c r="L975" s="3"/>
      <c r="M975" s="146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ht="15.75" hidden="1" customHeight="1" spans="1:29">
      <c r="A976" s="3"/>
      <c r="B976" s="3"/>
      <c r="C976" s="4"/>
      <c r="D976" s="3"/>
      <c r="E976" s="3"/>
      <c r="F976" s="3"/>
      <c r="G976" s="3"/>
      <c r="H976" s="3"/>
      <c r="I976" s="3"/>
      <c r="J976" s="147"/>
      <c r="K976" s="3"/>
      <c r="L976" s="3"/>
      <c r="M976" s="146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ht="15.75" hidden="1" customHeight="1" spans="1:29">
      <c r="A977" s="3"/>
      <c r="B977" s="3"/>
      <c r="C977" s="4"/>
      <c r="D977" s="3"/>
      <c r="E977" s="3"/>
      <c r="F977" s="3"/>
      <c r="G977" s="3"/>
      <c r="H977" s="3"/>
      <c r="I977" s="3"/>
      <c r="J977" s="147"/>
      <c r="K977" s="3"/>
      <c r="L977" s="3"/>
      <c r="M977" s="146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ht="15.75" hidden="1" customHeight="1" spans="1:29">
      <c r="A978" s="3"/>
      <c r="B978" s="3"/>
      <c r="C978" s="4"/>
      <c r="D978" s="3"/>
      <c r="E978" s="3"/>
      <c r="F978" s="3"/>
      <c r="G978" s="3"/>
      <c r="H978" s="3"/>
      <c r="I978" s="3"/>
      <c r="J978" s="145"/>
      <c r="K978" s="3"/>
      <c r="L978" s="3"/>
      <c r="M978" s="146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ht="15.75" hidden="1" customHeight="1" spans="1:29">
      <c r="A979" s="3"/>
      <c r="B979" s="3"/>
      <c r="C979" s="4"/>
      <c r="D979" s="3"/>
      <c r="E979" s="3"/>
      <c r="F979" s="3"/>
      <c r="G979" s="3"/>
      <c r="H979" s="3"/>
      <c r="I979" s="3"/>
      <c r="J979" s="145"/>
      <c r="K979" s="3"/>
      <c r="L979" s="3"/>
      <c r="M979" s="146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ht="15.75" hidden="1" customHeight="1" spans="1:29">
      <c r="A980" s="3"/>
      <c r="B980" s="3"/>
      <c r="C980" s="4"/>
      <c r="D980" s="3"/>
      <c r="E980" s="3"/>
      <c r="F980" s="3"/>
      <c r="G980" s="3"/>
      <c r="H980" s="3"/>
      <c r="I980" s="3"/>
      <c r="J980" s="147"/>
      <c r="K980" s="3"/>
      <c r="L980" s="3"/>
      <c r="M980" s="146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ht="15.75" hidden="1" customHeight="1" spans="1:29">
      <c r="A981" s="3"/>
      <c r="B981" s="3"/>
      <c r="C981" s="4"/>
      <c r="D981" s="3"/>
      <c r="E981" s="3"/>
      <c r="F981" s="3"/>
      <c r="G981" s="3"/>
      <c r="H981" s="3"/>
      <c r="I981" s="3"/>
      <c r="J981" s="147"/>
      <c r="K981" s="3"/>
      <c r="L981" s="3"/>
      <c r="M981" s="146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ht="15.75" hidden="1" customHeight="1" spans="1:29">
      <c r="A982" s="3"/>
      <c r="B982" s="3"/>
      <c r="C982" s="4"/>
      <c r="D982" s="3"/>
      <c r="E982" s="3"/>
      <c r="F982" s="3"/>
      <c r="G982" s="3"/>
      <c r="H982" s="3"/>
      <c r="I982" s="3"/>
      <c r="J982" s="147"/>
      <c r="K982" s="3"/>
      <c r="L982" s="3"/>
      <c r="M982" s="146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ht="15.75" hidden="1" customHeight="1" spans="1:29">
      <c r="A983" s="3"/>
      <c r="B983" s="3"/>
      <c r="C983" s="4"/>
      <c r="D983" s="3"/>
      <c r="E983" s="3"/>
      <c r="F983" s="3"/>
      <c r="G983" s="3"/>
      <c r="H983" s="3"/>
      <c r="I983" s="3"/>
      <c r="J983" s="147"/>
      <c r="K983" s="3"/>
      <c r="L983" s="3"/>
      <c r="M983" s="146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ht="15.75" hidden="1" customHeight="1" spans="1:29">
      <c r="A984" s="3"/>
      <c r="B984" s="3"/>
      <c r="C984" s="4"/>
      <c r="D984" s="3"/>
      <c r="E984" s="3"/>
      <c r="F984" s="3"/>
      <c r="G984" s="3"/>
      <c r="H984" s="3"/>
      <c r="I984" s="3"/>
      <c r="J984" s="147"/>
      <c r="K984" s="3"/>
      <c r="L984" s="3"/>
      <c r="M984" s="146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ht="15.75" hidden="1" customHeight="1" spans="1:29">
      <c r="A985" s="3"/>
      <c r="B985" s="3"/>
      <c r="C985" s="4"/>
      <c r="D985" s="3"/>
      <c r="E985" s="3"/>
      <c r="F985" s="3"/>
      <c r="G985" s="3"/>
      <c r="H985" s="3"/>
      <c r="I985" s="3"/>
      <c r="J985" s="147"/>
      <c r="K985" s="3"/>
      <c r="L985" s="3"/>
      <c r="M985" s="146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ht="15.75" hidden="1" customHeight="1" spans="1:29">
      <c r="A986" s="3"/>
      <c r="B986" s="3"/>
      <c r="C986" s="4"/>
      <c r="D986" s="3"/>
      <c r="E986" s="3"/>
      <c r="F986" s="3"/>
      <c r="G986" s="3"/>
      <c r="H986" s="3"/>
      <c r="I986" s="3"/>
      <c r="J986" s="147"/>
      <c r="K986" s="3"/>
      <c r="L986" s="3"/>
      <c r="M986" s="146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ht="15.75" hidden="1" customHeight="1" spans="1:29">
      <c r="A987" s="3"/>
      <c r="B987" s="3"/>
      <c r="C987" s="4"/>
      <c r="D987" s="3"/>
      <c r="E987" s="3"/>
      <c r="F987" s="3"/>
      <c r="G987" s="3"/>
      <c r="H987" s="3"/>
      <c r="I987" s="3"/>
      <c r="J987" s="147"/>
      <c r="K987" s="3"/>
      <c r="L987" s="3"/>
      <c r="M987" s="146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ht="15.75" hidden="1" customHeight="1" spans="1:29">
      <c r="A988" s="3"/>
      <c r="B988" s="3"/>
      <c r="C988" s="4"/>
      <c r="D988" s="3"/>
      <c r="E988" s="3"/>
      <c r="F988" s="3"/>
      <c r="G988" s="3"/>
      <c r="H988" s="3"/>
      <c r="I988" s="3"/>
      <c r="J988" s="147"/>
      <c r="K988" s="3"/>
      <c r="L988" s="3"/>
      <c r="M988" s="146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ht="15.75" hidden="1" customHeight="1" spans="1:29">
      <c r="A989" s="3"/>
      <c r="B989" s="3"/>
      <c r="C989" s="4"/>
      <c r="D989" s="3"/>
      <c r="E989" s="3"/>
      <c r="F989" s="3"/>
      <c r="G989" s="3"/>
      <c r="H989" s="3"/>
      <c r="I989" s="3"/>
      <c r="J989" s="147"/>
      <c r="K989" s="3"/>
      <c r="L989" s="3"/>
      <c r="M989" s="146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ht="15.75" hidden="1" customHeight="1" spans="1:29">
      <c r="A990" s="3"/>
      <c r="B990" s="3"/>
      <c r="C990" s="4"/>
      <c r="D990" s="3"/>
      <c r="E990" s="3"/>
      <c r="F990" s="3"/>
      <c r="G990" s="3"/>
      <c r="H990" s="3"/>
      <c r="I990" s="3"/>
      <c r="J990" s="147"/>
      <c r="K990" s="3"/>
      <c r="L990" s="3"/>
      <c r="M990" s="146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ht="15.75" hidden="1" customHeight="1" spans="1:29">
      <c r="A991" s="3"/>
      <c r="B991" s="3"/>
      <c r="C991" s="4"/>
      <c r="D991" s="3"/>
      <c r="E991" s="3"/>
      <c r="F991" s="3"/>
      <c r="G991" s="3"/>
      <c r="H991" s="3"/>
      <c r="I991" s="3"/>
      <c r="J991" s="147"/>
      <c r="K991" s="3"/>
      <c r="L991" s="3"/>
      <c r="M991" s="146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ht="15.75" hidden="1" customHeight="1" spans="1:29">
      <c r="A992" s="3"/>
      <c r="B992" s="3"/>
      <c r="C992" s="4"/>
      <c r="D992" s="3"/>
      <c r="E992" s="3"/>
      <c r="F992" s="3"/>
      <c r="G992" s="3"/>
      <c r="H992" s="3"/>
      <c r="I992" s="3"/>
      <c r="J992" s="147"/>
      <c r="K992" s="3"/>
      <c r="L992" s="3"/>
      <c r="M992" s="146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ht="15.75" hidden="1" customHeight="1" spans="1:29">
      <c r="A993" s="3"/>
      <c r="B993" s="3"/>
      <c r="C993" s="4"/>
      <c r="D993" s="3"/>
      <c r="E993" s="3"/>
      <c r="F993" s="3"/>
      <c r="G993" s="3"/>
      <c r="H993" s="3"/>
      <c r="I993" s="3"/>
      <c r="J993" s="147"/>
      <c r="K993" s="3"/>
      <c r="L993" s="3"/>
      <c r="M993" s="146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ht="15.75" hidden="1" customHeight="1" spans="1:29">
      <c r="A994" s="3"/>
      <c r="B994" s="3"/>
      <c r="C994" s="4"/>
      <c r="D994" s="3"/>
      <c r="E994" s="3"/>
      <c r="F994" s="3"/>
      <c r="G994" s="3"/>
      <c r="H994" s="3"/>
      <c r="I994" s="3"/>
      <c r="J994" s="147"/>
      <c r="K994" s="3"/>
      <c r="L994" s="3"/>
      <c r="M994" s="146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ht="15.75" hidden="1" customHeight="1" spans="1:29">
      <c r="A995" s="3"/>
      <c r="B995" s="3"/>
      <c r="C995" s="4"/>
      <c r="D995" s="3"/>
      <c r="E995" s="3"/>
      <c r="F995" s="3"/>
      <c r="G995" s="3"/>
      <c r="H995" s="3"/>
      <c r="I995" s="3"/>
      <c r="J995" s="147"/>
      <c r="K995" s="3"/>
      <c r="L995" s="3"/>
      <c r="M995" s="146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ht="15.75" hidden="1" customHeight="1" spans="1:29">
      <c r="A996" s="3"/>
      <c r="B996" s="3"/>
      <c r="C996" s="4"/>
      <c r="D996" s="3"/>
      <c r="E996" s="3"/>
      <c r="F996" s="3"/>
      <c r="G996" s="3"/>
      <c r="H996" s="3"/>
      <c r="I996" s="3"/>
      <c r="J996" s="147"/>
      <c r="K996" s="3"/>
      <c r="L996" s="3"/>
      <c r="M996" s="146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ht="15.75" hidden="1" customHeight="1" spans="1:29">
      <c r="A997" s="3"/>
      <c r="B997" s="3"/>
      <c r="C997" s="4"/>
      <c r="D997" s="3"/>
      <c r="E997" s="3"/>
      <c r="F997" s="3"/>
      <c r="G997" s="3"/>
      <c r="H997" s="3"/>
      <c r="I997" s="3"/>
      <c r="J997" s="145"/>
      <c r="K997" s="3"/>
      <c r="L997" s="3"/>
      <c r="M997" s="146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ht="15.75" hidden="1" customHeight="1" spans="1:29">
      <c r="A998" s="3"/>
      <c r="B998" s="3"/>
      <c r="C998" s="4"/>
      <c r="D998" s="3"/>
      <c r="E998" s="3"/>
      <c r="F998" s="3"/>
      <c r="G998" s="3"/>
      <c r="H998" s="3"/>
      <c r="I998" s="3"/>
      <c r="J998" s="145"/>
      <c r="K998" s="3"/>
      <c r="L998" s="3"/>
      <c r="M998" s="146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ht="15.75" hidden="1" customHeight="1" spans="1:29">
      <c r="A999" s="3"/>
      <c r="B999" s="3"/>
      <c r="C999" s="4"/>
      <c r="D999" s="3"/>
      <c r="E999" s="3"/>
      <c r="F999" s="3"/>
      <c r="G999" s="3"/>
      <c r="H999" s="3"/>
      <c r="I999" s="3"/>
      <c r="J999" s="145"/>
      <c r="K999" s="3"/>
      <c r="L999" s="3"/>
      <c r="M999" s="146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ht="15.75" hidden="1" customHeight="1" spans="1:29">
      <c r="A1000" s="3"/>
      <c r="B1000" s="3"/>
      <c r="C1000" s="4"/>
      <c r="D1000" s="3"/>
      <c r="E1000" s="3"/>
      <c r="F1000" s="3"/>
      <c r="G1000" s="3"/>
      <c r="H1000" s="3"/>
      <c r="I1000" s="3"/>
      <c r="J1000" s="147"/>
      <c r="K1000" s="3"/>
      <c r="L1000" s="3"/>
      <c r="M1000" s="146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ht="15.75" hidden="1" customHeight="1" spans="1:29">
      <c r="A1001" s="3"/>
      <c r="B1001" s="3"/>
      <c r="C1001" s="4"/>
      <c r="D1001" s="3"/>
      <c r="E1001" s="3"/>
      <c r="F1001" s="3"/>
      <c r="G1001" s="3"/>
      <c r="H1001" s="3"/>
      <c r="I1001" s="3"/>
      <c r="J1001" s="147"/>
      <c r="K1001" s="3"/>
      <c r="L1001" s="3"/>
      <c r="M1001" s="146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ht="15.75" hidden="1" customHeight="1" spans="1:29">
      <c r="A1002" s="3"/>
      <c r="B1002" s="3"/>
      <c r="C1002" s="4"/>
      <c r="D1002" s="3"/>
      <c r="E1002" s="3"/>
      <c r="F1002" s="3"/>
      <c r="G1002" s="3"/>
      <c r="H1002" s="3"/>
      <c r="I1002" s="3"/>
      <c r="J1002" s="147"/>
      <c r="K1002" s="3"/>
      <c r="L1002" s="3"/>
      <c r="M1002" s="146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ht="15.75" hidden="1" customHeight="1" spans="1:29">
      <c r="A1003" s="3"/>
      <c r="B1003" s="3"/>
      <c r="C1003" s="4"/>
      <c r="D1003" s="3"/>
      <c r="E1003" s="3"/>
      <c r="F1003" s="3"/>
      <c r="G1003" s="3"/>
      <c r="H1003" s="3"/>
      <c r="I1003" s="3"/>
      <c r="J1003" s="145"/>
      <c r="K1003" s="3"/>
      <c r="L1003" s="3"/>
      <c r="M1003" s="146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ht="15.75" hidden="1" customHeight="1" spans="1:29">
      <c r="A1004" s="3"/>
      <c r="B1004" s="3"/>
      <c r="C1004" s="4"/>
      <c r="D1004" s="3"/>
      <c r="E1004" s="3"/>
      <c r="F1004" s="3"/>
      <c r="G1004" s="3"/>
      <c r="H1004" s="3"/>
      <c r="I1004" s="3"/>
      <c r="J1004" s="147"/>
      <c r="K1004" s="3"/>
      <c r="L1004" s="3"/>
      <c r="M1004" s="146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ht="15.75" hidden="1" customHeight="1" spans="1:29">
      <c r="A1005" s="3"/>
      <c r="B1005" s="3"/>
      <c r="C1005" s="4"/>
      <c r="D1005" s="3"/>
      <c r="E1005" s="3"/>
      <c r="F1005" s="3"/>
      <c r="G1005" s="3"/>
      <c r="H1005" s="3"/>
      <c r="I1005" s="3"/>
      <c r="J1005" s="147"/>
      <c r="K1005" s="3"/>
      <c r="L1005" s="3"/>
      <c r="M1005" s="146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ht="15.75" hidden="1" customHeight="1" spans="1:29">
      <c r="A1006" s="3"/>
      <c r="B1006" s="3"/>
      <c r="C1006" s="4"/>
      <c r="D1006" s="3"/>
      <c r="E1006" s="3"/>
      <c r="F1006" s="3"/>
      <c r="G1006" s="3"/>
      <c r="H1006" s="3"/>
      <c r="I1006" s="3"/>
      <c r="J1006" s="147"/>
      <c r="K1006" s="3"/>
      <c r="L1006" s="3"/>
      <c r="M1006" s="146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ht="15.75" hidden="1" customHeight="1" spans="1:29">
      <c r="A1007" s="3"/>
      <c r="B1007" s="3"/>
      <c r="C1007" s="4"/>
      <c r="D1007" s="3"/>
      <c r="E1007" s="3"/>
      <c r="F1007" s="3"/>
      <c r="G1007" s="3"/>
      <c r="H1007" s="3"/>
      <c r="I1007" s="3"/>
      <c r="J1007" s="147"/>
      <c r="K1007" s="3"/>
      <c r="L1007" s="3"/>
      <c r="M1007" s="146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  <row r="1008" ht="15.75" hidden="1" customHeight="1" spans="1:29">
      <c r="A1008" s="3"/>
      <c r="B1008" s="3"/>
      <c r="C1008" s="4"/>
      <c r="D1008" s="3"/>
      <c r="E1008" s="3"/>
      <c r="F1008" s="3"/>
      <c r="G1008" s="3"/>
      <c r="H1008" s="3"/>
      <c r="I1008" s="3"/>
      <c r="J1008" s="147"/>
      <c r="K1008" s="3"/>
      <c r="L1008" s="3"/>
      <c r="M1008" s="146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</row>
    <row r="1009" ht="15.75" hidden="1" customHeight="1" spans="1:29">
      <c r="A1009" s="3"/>
      <c r="B1009" s="3"/>
      <c r="C1009" s="4"/>
      <c r="D1009" s="3"/>
      <c r="E1009" s="3"/>
      <c r="F1009" s="3"/>
      <c r="G1009" s="3"/>
      <c r="H1009" s="3"/>
      <c r="I1009" s="3"/>
      <c r="J1009" s="147"/>
      <c r="K1009" s="3"/>
      <c r="L1009" s="3"/>
      <c r="M1009" s="146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</row>
    <row r="1010" ht="15.75" hidden="1" customHeight="1" spans="1:29">
      <c r="A1010" s="3"/>
      <c r="B1010" s="3"/>
      <c r="C1010" s="4"/>
      <c r="D1010" s="3"/>
      <c r="E1010" s="3"/>
      <c r="F1010" s="3"/>
      <c r="G1010" s="3"/>
      <c r="H1010" s="3"/>
      <c r="I1010" s="3"/>
      <c r="J1010" s="147"/>
      <c r="K1010" s="3"/>
      <c r="L1010" s="3"/>
      <c r="M1010" s="146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</row>
    <row r="1011" ht="15.75" hidden="1" customHeight="1" spans="1:29">
      <c r="A1011" s="3"/>
      <c r="B1011" s="3"/>
      <c r="C1011" s="4"/>
      <c r="D1011" s="3"/>
      <c r="E1011" s="3"/>
      <c r="F1011" s="3"/>
      <c r="G1011" s="3"/>
      <c r="H1011" s="3"/>
      <c r="I1011" s="3"/>
      <c r="J1011" s="147"/>
      <c r="K1011" s="3"/>
      <c r="L1011" s="3"/>
      <c r="M1011" s="146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</row>
    <row r="1012" ht="15.75" hidden="1" customHeight="1" spans="1:29">
      <c r="A1012" s="3"/>
      <c r="B1012" s="3"/>
      <c r="C1012" s="4"/>
      <c r="D1012" s="3"/>
      <c r="E1012" s="3"/>
      <c r="F1012" s="3"/>
      <c r="G1012" s="3"/>
      <c r="H1012" s="3"/>
      <c r="I1012" s="3"/>
      <c r="J1012" s="147"/>
      <c r="K1012" s="3"/>
      <c r="L1012" s="3"/>
      <c r="M1012" s="146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</row>
    <row r="1013" ht="15.75" hidden="1" customHeight="1" spans="1:29">
      <c r="A1013" s="3"/>
      <c r="B1013" s="3"/>
      <c r="C1013" s="4"/>
      <c r="D1013" s="3"/>
      <c r="E1013" s="3"/>
      <c r="F1013" s="3"/>
      <c r="G1013" s="3"/>
      <c r="H1013" s="3"/>
      <c r="I1013" s="3"/>
      <c r="J1013" s="147"/>
      <c r="K1013" s="3"/>
      <c r="L1013" s="3"/>
      <c r="M1013" s="146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</row>
    <row r="1014" ht="15.75" hidden="1" customHeight="1" spans="1:29">
      <c r="A1014" s="3"/>
      <c r="B1014" s="3"/>
      <c r="C1014" s="4"/>
      <c r="D1014" s="3"/>
      <c r="E1014" s="3"/>
      <c r="F1014" s="3"/>
      <c r="G1014" s="3"/>
      <c r="H1014" s="3"/>
      <c r="I1014" s="3"/>
      <c r="J1014" s="147"/>
      <c r="K1014" s="3"/>
      <c r="L1014" s="3"/>
      <c r="M1014" s="146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</row>
    <row r="1015" ht="15.75" hidden="1" customHeight="1" spans="1:29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ht="15.75" hidden="1" customHeight="1" spans="1:29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</row>
    <row r="1017" ht="15.75" hidden="1" customHeight="1" spans="1:29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</row>
    <row r="1018" ht="15.75" hidden="1" customHeight="1" spans="1:29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ht="15.75" hidden="1" customHeight="1" spans="1:29">
      <c r="A1019" s="3"/>
      <c r="B1019" s="3"/>
      <c r="C1019" s="4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</row>
    <row r="1020" ht="15.75" hidden="1" customHeight="1" spans="1:29">
      <c r="A1020" s="3"/>
      <c r="B1020" s="3"/>
      <c r="C1020" s="4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</row>
    <row r="1021" ht="15.75" hidden="1" customHeight="1" spans="1:29">
      <c r="A1021" s="3"/>
      <c r="B1021" s="3"/>
      <c r="C1021" s="4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</row>
    <row r="1022" ht="15.75" hidden="1" customHeight="1" spans="1:29">
      <c r="A1022" s="3"/>
      <c r="B1022" s="3"/>
      <c r="C1022" s="4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ht="15.75" hidden="1" customHeight="1" spans="1:29">
      <c r="A1023" s="3"/>
      <c r="B1023" s="3"/>
      <c r="C1023" s="4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</row>
    <row r="1024" ht="15.75" hidden="1" customHeight="1" spans="1:29">
      <c r="A1024" s="3"/>
      <c r="B1024" s="3"/>
      <c r="C1024" s="4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</row>
    <row r="1025" ht="15.75" hidden="1" customHeight="1" spans="1:29">
      <c r="A1025" s="3"/>
      <c r="B1025" s="3"/>
      <c r="C1025" s="4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ht="15.75" hidden="1" customHeight="1" spans="1:29">
      <c r="A1026" s="3"/>
      <c r="B1026" s="3"/>
      <c r="C1026" s="4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</row>
    <row r="1027" ht="15.75" hidden="1" customHeight="1" spans="1:29">
      <c r="A1027" s="3"/>
      <c r="B1027" s="3"/>
      <c r="C1027" s="4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</row>
    <row r="1028" ht="15.75" hidden="1" customHeight="1" spans="1:29">
      <c r="A1028" s="3"/>
      <c r="B1028" s="3"/>
      <c r="C1028" s="4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</row>
    <row r="1029" ht="15.75" hidden="1" customHeight="1" spans="1:29">
      <c r="A1029" s="3"/>
      <c r="B1029" s="3"/>
      <c r="C1029" s="4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</row>
    <row r="1030" ht="15.75" hidden="1" customHeight="1" spans="1:29">
      <c r="A1030" s="3"/>
      <c r="B1030" s="3"/>
      <c r="C1030" s="4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ht="15.75" hidden="1" customHeight="1" spans="1:29">
      <c r="A1031" s="3"/>
      <c r="B1031" s="3"/>
      <c r="C1031" s="4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</row>
    <row r="1032" ht="15.75" hidden="1" customHeight="1" spans="1:29">
      <c r="A1032" s="3"/>
      <c r="B1032" s="3"/>
      <c r="C1032" s="4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</row>
    <row r="1033" ht="15.75" hidden="1" customHeight="1" spans="1:29">
      <c r="A1033" s="3"/>
      <c r="B1033" s="3"/>
      <c r="C1033" s="4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ht="15.75" hidden="1" customHeight="1" spans="1:29">
      <c r="A1034" s="3"/>
      <c r="B1034" s="3"/>
      <c r="C1034" s="4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</row>
    <row r="1035" ht="15.75" hidden="1" customHeight="1" spans="1:29">
      <c r="A1035" s="3"/>
      <c r="B1035" s="3"/>
      <c r="C1035" s="4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</row>
    <row r="1036" ht="15.75" hidden="1" customHeight="1" spans="1:29">
      <c r="A1036" s="3"/>
      <c r="B1036" s="3"/>
      <c r="C1036" s="4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</row>
    <row r="1037" ht="15.75" hidden="1" customHeight="1" spans="1:29">
      <c r="A1037" s="3"/>
      <c r="B1037" s="3"/>
      <c r="C1037" s="4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</row>
    <row r="1038" ht="15.75" hidden="1" customHeight="1" spans="1:29">
      <c r="A1038" s="3"/>
      <c r="B1038" s="3"/>
      <c r="C1038" s="4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</row>
    <row r="1039" ht="15.75" hidden="1" customHeight="1" spans="1:29">
      <c r="A1039" s="3"/>
      <c r="B1039" s="3"/>
      <c r="C1039" s="4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ht="15.75" hidden="1" customHeight="1" spans="1:29">
      <c r="A1040" s="3"/>
      <c r="B1040" s="3"/>
      <c r="C1040" s="4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</row>
    <row r="1041" ht="15.75" hidden="1" customHeight="1" spans="1:29">
      <c r="A1041" s="3"/>
      <c r="B1041" s="3"/>
      <c r="C1041" s="4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</row>
    <row r="1042" ht="15.75" hidden="1" customHeight="1" spans="1:29">
      <c r="A1042" s="3"/>
      <c r="B1042" s="3"/>
      <c r="C1042" s="4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ht="15.75" hidden="1" customHeight="1" spans="1:29">
      <c r="A1043" s="3"/>
      <c r="B1043" s="3"/>
      <c r="C1043" s="4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</row>
    <row r="1044" ht="15.75" hidden="1" customHeight="1" spans="1:29">
      <c r="A1044" s="3"/>
      <c r="B1044" s="3"/>
      <c r="C1044" s="4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</row>
    <row r="1045" ht="15.75" hidden="1" customHeight="1" spans="1:29">
      <c r="A1045" s="3"/>
      <c r="B1045" s="3"/>
      <c r="C1045" s="4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ht="15.75" hidden="1" customHeight="1" spans="1:29">
      <c r="A1046" s="3"/>
      <c r="B1046" s="3"/>
      <c r="C1046" s="4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</row>
    <row r="1047" ht="15.75" hidden="1" customHeight="1" spans="1:29">
      <c r="A1047" s="3"/>
      <c r="B1047" s="3"/>
      <c r="C1047" s="4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</row>
    <row r="1048" ht="15.75" hidden="1" customHeight="1" spans="1:29">
      <c r="A1048" s="3"/>
      <c r="B1048" s="3"/>
      <c r="C1048" s="4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</row>
    <row r="1049" ht="15.75" hidden="1" customHeight="1" spans="1:29">
      <c r="A1049" s="3"/>
      <c r="B1049" s="3"/>
      <c r="C1049" s="4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ht="15.75" hidden="1" customHeight="1" spans="1:29">
      <c r="A1050" s="3"/>
      <c r="B1050" s="3"/>
      <c r="C1050" s="4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</row>
    <row r="1051" ht="15.75" hidden="1" customHeight="1" spans="1:29">
      <c r="A1051" s="3"/>
      <c r="B1051" s="3"/>
      <c r="C1051" s="4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</row>
    <row r="1052" ht="15.75" hidden="1" customHeight="1" spans="1:29">
      <c r="A1052" s="3"/>
      <c r="B1052" s="3"/>
      <c r="C1052" s="4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ht="15.75" hidden="1" customHeight="1" spans="1:29">
      <c r="A1053" s="3"/>
      <c r="B1053" s="3"/>
      <c r="C1053" s="4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</row>
    <row r="1054" ht="15.75" hidden="1" customHeight="1" spans="1:29">
      <c r="A1054" s="3"/>
      <c r="B1054" s="3"/>
      <c r="C1054" s="4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</row>
    <row r="1055" ht="15.75" hidden="1" customHeight="1" spans="1:29">
      <c r="A1055" s="3"/>
      <c r="B1055" s="3"/>
      <c r="C1055" s="4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ht="15.75" hidden="1" customHeight="1" spans="1:29">
      <c r="A1056" s="3"/>
      <c r="B1056" s="3"/>
      <c r="C1056" s="4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</row>
    <row r="1057" ht="15.75" hidden="1" customHeight="1" spans="1:29">
      <c r="A1057" s="3"/>
      <c r="B1057" s="3"/>
      <c r="C1057" s="4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</row>
    <row r="1058" ht="15.75" hidden="1" customHeight="1" spans="1:29">
      <c r="A1058" s="3"/>
      <c r="B1058" s="3"/>
      <c r="C1058" s="4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ht="15.75" hidden="1" customHeight="1" spans="1:29">
      <c r="A1059" s="3"/>
      <c r="B1059" s="3"/>
      <c r="C1059" s="4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</row>
    <row r="1060" ht="15.75" hidden="1" customHeight="1" spans="1:29">
      <c r="A1060" s="3"/>
      <c r="B1060" s="3"/>
      <c r="C1060" s="4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</row>
    <row r="1061" ht="15.75" hidden="1" customHeight="1" spans="1:29">
      <c r="A1061" s="3"/>
      <c r="B1061" s="3"/>
      <c r="C1061" s="4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</row>
    <row r="1062" ht="15.75" hidden="1" customHeight="1" spans="1:29">
      <c r="A1062" s="3"/>
      <c r="B1062" s="3"/>
      <c r="C1062" s="4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ht="15.75" hidden="1" customHeight="1" spans="1:29">
      <c r="A1063" s="3"/>
      <c r="B1063" s="3"/>
      <c r="C1063" s="4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</row>
    <row r="1064" ht="15.75" hidden="1" customHeight="1" spans="1:29">
      <c r="A1064" s="3"/>
      <c r="B1064" s="3"/>
      <c r="C1064" s="4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</row>
    <row r="1065" ht="15.75" hidden="1" customHeight="1" spans="1:29">
      <c r="A1065" s="3"/>
      <c r="B1065" s="3"/>
      <c r="C1065" s="4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ht="15.75" hidden="1" customHeight="1" spans="1:29">
      <c r="A1066" s="3"/>
      <c r="B1066" s="3"/>
      <c r="C1066" s="4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</row>
    <row r="1067" ht="15.75" hidden="1" customHeight="1" spans="1:29">
      <c r="A1067" s="3"/>
      <c r="B1067" s="3"/>
      <c r="C1067" s="4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ht="15.75" hidden="1" customHeight="1" spans="1:29">
      <c r="A1068" s="3"/>
      <c r="B1068" s="3"/>
      <c r="C1068" s="4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</row>
    <row r="1069" ht="15.75" hidden="1" customHeight="1" spans="1:29">
      <c r="A1069" s="3"/>
      <c r="B1069" s="3"/>
      <c r="C1069" s="4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ht="15.75" hidden="1" customHeight="1" spans="1:29">
      <c r="A1070" s="3"/>
      <c r="B1070" s="3"/>
      <c r="C1070" s="4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ht="15.75" hidden="1" customHeight="1" spans="1:29">
      <c r="A1071" s="3"/>
      <c r="B1071" s="3"/>
      <c r="C1071" s="4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</row>
    <row r="1072" ht="15.75" hidden="1" customHeight="1" spans="1:29">
      <c r="A1072" s="3"/>
      <c r="B1072" s="3"/>
      <c r="C1072" s="4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ht="15.75" hidden="1" customHeight="1" spans="1:29">
      <c r="A1073" s="3"/>
      <c r="B1073" s="3"/>
      <c r="C1073" s="4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</row>
    <row r="1074" ht="15.75" hidden="1" customHeight="1" spans="1:29">
      <c r="A1074" s="3"/>
      <c r="B1074" s="3"/>
      <c r="C1074" s="4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</row>
    <row r="1075" ht="15.75" hidden="1" customHeight="1" spans="1:29">
      <c r="A1075" s="3"/>
      <c r="B1075" s="3"/>
      <c r="C1075" s="4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</row>
    <row r="1076" ht="15.75" hidden="1" customHeight="1" spans="1:29">
      <c r="A1076" s="3"/>
      <c r="B1076" s="3"/>
      <c r="C1076" s="4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</row>
    <row r="1077" ht="15.75" hidden="1" customHeight="1" spans="1:29">
      <c r="A1077" s="3"/>
      <c r="B1077" s="3"/>
      <c r="C1077" s="4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</row>
    <row r="1078" ht="15.75" hidden="1" customHeight="1" spans="1:29">
      <c r="A1078" s="3"/>
      <c r="B1078" s="3"/>
      <c r="C1078" s="4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</row>
    <row r="1079" ht="15.75" hidden="1" customHeight="1" spans="1:29">
      <c r="A1079" s="3"/>
      <c r="B1079" s="3"/>
      <c r="C1079" s="4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</row>
    <row r="1080" ht="15.75" hidden="1" customHeight="1" spans="1:29">
      <c r="A1080" s="3"/>
      <c r="B1080" s="3"/>
      <c r="C1080" s="4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</row>
    <row r="1081" ht="15.75" hidden="1" customHeight="1" spans="1:29">
      <c r="A1081" s="3"/>
      <c r="B1081" s="3"/>
      <c r="C1081" s="4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ht="15.75" hidden="1" customHeight="1" spans="1:29">
      <c r="A1082" s="3"/>
      <c r="B1082" s="3"/>
      <c r="C1082" s="4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</row>
    <row r="1083" ht="15.75" hidden="1" customHeight="1" spans="1:29">
      <c r="A1083" s="3"/>
      <c r="B1083" s="3"/>
      <c r="C1083" s="4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</row>
    <row r="1084" ht="15.75" hidden="1" customHeight="1" spans="1:29">
      <c r="A1084" s="3"/>
      <c r="B1084" s="3"/>
      <c r="C1084" s="4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ht="15.75" hidden="1" customHeight="1" spans="1:29">
      <c r="A1085" s="3"/>
      <c r="B1085" s="3"/>
      <c r="C1085" s="4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</row>
    <row r="1086" ht="15.75" hidden="1" customHeight="1" spans="1:29">
      <c r="A1086" s="3"/>
      <c r="B1086" s="3"/>
      <c r="C1086" s="4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</row>
    <row r="1087" ht="15.75" hidden="1" customHeight="1" spans="1:29">
      <c r="A1087" s="3"/>
      <c r="B1087" s="3"/>
      <c r="C1087" s="4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</row>
    <row r="1088" ht="15.75" hidden="1" customHeight="1" spans="1:29">
      <c r="A1088" s="3"/>
      <c r="B1088" s="3"/>
      <c r="C1088" s="4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</row>
    <row r="1089" ht="15.75" hidden="1" customHeight="1" spans="1:29">
      <c r="A1089" s="3"/>
      <c r="B1089" s="3"/>
      <c r="C1089" s="4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</row>
    <row r="1090" ht="15.75" hidden="1" customHeight="1" spans="1:29">
      <c r="A1090" s="3"/>
      <c r="B1090" s="3"/>
      <c r="C1090" s="4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</row>
    <row r="1091" ht="15.75" hidden="1" customHeight="1" spans="1:29">
      <c r="A1091" s="3"/>
      <c r="B1091" s="3"/>
      <c r="C1091" s="4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</row>
    <row r="1092" ht="15.75" hidden="1" customHeight="1" spans="1:29">
      <c r="A1092" s="3"/>
      <c r="B1092" s="3"/>
      <c r="C1092" s="4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</row>
    <row r="1093" ht="15.75" hidden="1" customHeight="1" spans="1:29">
      <c r="A1093" s="3"/>
      <c r="B1093" s="3"/>
      <c r="C1093" s="4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</row>
    <row r="1094" ht="15.75" hidden="1" customHeight="1" spans="1:29">
      <c r="A1094" s="3"/>
      <c r="B1094" s="3"/>
      <c r="C1094" s="4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</row>
    <row r="1095" ht="15.75" hidden="1" customHeight="1" spans="1:29">
      <c r="A1095" s="3"/>
      <c r="B1095" s="3"/>
      <c r="C1095" s="4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</row>
    <row r="1096" ht="15.75" hidden="1" customHeight="1" spans="1:29">
      <c r="A1096" s="3"/>
      <c r="B1096" s="3"/>
      <c r="C1096" s="4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</row>
    <row r="1097" ht="15.75" hidden="1" customHeight="1" spans="1:29">
      <c r="A1097" s="3"/>
      <c r="B1097" s="3"/>
      <c r="C1097" s="4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</row>
    <row r="1098" ht="15.75" hidden="1" customHeight="1" spans="1:29">
      <c r="A1098" s="3"/>
      <c r="B1098" s="3"/>
      <c r="C1098" s="4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</row>
    <row r="1099" ht="15.75" customHeight="1" spans="1:29">
      <c r="A1099" s="3"/>
      <c r="B1099" s="3"/>
      <c r="C1099" s="4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</row>
  </sheetData>
  <autoFilter xmlns:etc="http://www.wps.cn/officeDocument/2017/etCustomData" ref="A1:AC1098" etc:filterBottomFollowUsedRange="0">
    <filterColumn colId="1">
      <customFilters>
        <customFilter operator="equal" val="REGIONAL 2"/>
      </customFilters>
    </filterColumn>
    <extLst/>
  </autoFilter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4.43" defaultRowHeight="15" customHeight="1"/>
  <cols>
    <col min="1" max="1" width="20.57" customWidth="1"/>
    <col min="2" max="2" width="7.71" customWidth="1"/>
    <col min="3" max="3" width="41.28" customWidth="1"/>
    <col min="4" max="4" width="20.86" customWidth="1"/>
    <col min="5" max="5" width="13.29" customWidth="1"/>
    <col min="6" max="6" width="9.58" customWidth="1"/>
    <col min="7" max="7" width="54.14" customWidth="1"/>
    <col min="8" max="8" width="10.58" customWidth="1"/>
    <col min="9" max="26" width="36.58" customWidth="1"/>
  </cols>
  <sheetData>
    <row r="1" ht="29" spans="1:26">
      <c r="A1" s="54" t="s">
        <v>15</v>
      </c>
      <c r="B1" s="55" t="s">
        <v>7</v>
      </c>
      <c r="C1" s="55" t="s">
        <v>16</v>
      </c>
      <c r="D1" s="55" t="s">
        <v>17</v>
      </c>
      <c r="E1" s="55" t="s">
        <v>11</v>
      </c>
      <c r="F1" s="56" t="s">
        <v>18</v>
      </c>
      <c r="G1" s="56" t="s">
        <v>19</v>
      </c>
      <c r="H1" s="56" t="s">
        <v>1</v>
      </c>
      <c r="I1" s="55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ht="26" spans="1:26">
      <c r="A2" s="90" t="str">
        <f>IFERROR(__xludf.dummyfunction("QUERY(CandidatosFilaDeEspera!A1:M1599, ""SELECT Col10, Col8, Col11, Col13, Col12, Col5, Col3, Col2 where Col5 = 'INFANTIL 1' OR Col5 = 'INFANTIL 2' OR Col5 = 'INFANTIL 3'"",0)"),"24/03/2026 13:31:53")</f>
        <v>24/03/2026 13:31:53</v>
      </c>
      <c r="B2" s="90" t="str">
        <f>IFERROR(__xludf.dummyfunction("""COMPUTED_VALUE"""),"1")</f>
        <v>1</v>
      </c>
      <c r="C2" s="144" t="str">
        <f>IFERROR(__xludf.dummyfunction("""COMPUTED_VALUE"""),"MARIA EDUARDA SANTANA FELIX DA SILVA")</f>
        <v>MARIA EDUARDA SANTANA FELIX DA SILVA</v>
      </c>
      <c r="D2" s="90" t="str">
        <f>IFERROR(__xludf.dummyfunction("""COMPUTED_VALUE"""),"09/06/2024")</f>
        <v>09/06/2024</v>
      </c>
      <c r="E2" s="90" t="str">
        <f>IFERROR(__xludf.dummyfunction("""COMPUTED_VALUE"""),"004.110.684-90")</f>
        <v>004.110.684-90</v>
      </c>
      <c r="F2" s="90" t="str">
        <f>IFERROR(__xludf.dummyfunction("""COMPUTED_VALUE"""),"INFANTIL 1")</f>
        <v>INFANTIL 1</v>
      </c>
      <c r="G2" s="90" t="str">
        <f>IFERROR(__xludf.dummyfunction("""COMPUTED_VALUE"""),"CEMEI DR. PAULO MENDES")</f>
        <v>CEMEI DR. PAULO MENDES</v>
      </c>
      <c r="H2" s="90" t="str">
        <f>IFERROR(__xludf.dummyfunction("""COMPUTED_VALUE"""),"REGIONAL 7")</f>
        <v>REGIONAL 7</v>
      </c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ht="26" spans="1:26">
      <c r="A3" s="90" t="str">
        <f>IFERROR(__xludf.dummyfunction("""COMPUTED_VALUE"""),"27/03/2026 12:51:51")</f>
        <v>27/03/2026 12:51:51</v>
      </c>
      <c r="B3" s="90" t="str">
        <f>IFERROR(__xludf.dummyfunction("""COMPUTED_VALUE"""),"2")</f>
        <v>2</v>
      </c>
      <c r="C3" s="144" t="str">
        <f>IFERROR(__xludf.dummyfunction("""COMPUTED_VALUE"""),"OLIVER BENJAMIN DA SILVA LIMA")</f>
        <v>OLIVER BENJAMIN DA SILVA LIMA</v>
      </c>
      <c r="D3" s="90" t="str">
        <f>IFERROR(__xludf.dummyfunction("""COMPUTED_VALUE"""),"13/11/2025")</f>
        <v>13/11/2025</v>
      </c>
      <c r="E3" s="90" t="str">
        <f>IFERROR(__xludf.dummyfunction("""COMPUTED_VALUE"""),"022.780.734-00")</f>
        <v>022.780.734-00</v>
      </c>
      <c r="F3" s="90" t="str">
        <f>IFERROR(__xludf.dummyfunction("""COMPUTED_VALUE"""),"INFANTIL 1")</f>
        <v>INFANTIL 1</v>
      </c>
      <c r="G3" s="90" t="str">
        <f>IFERROR(__xludf.dummyfunction("""COMPUTED_VALUE"""),"CEMEI DR. PAULO MENDES")</f>
        <v>CEMEI DR. PAULO MENDES</v>
      </c>
      <c r="H3" s="90" t="str">
        <f>IFERROR(__xludf.dummyfunction("""COMPUTED_VALUE"""),"REGIONAL 7")</f>
        <v>REGIONAL 7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ht="26" spans="1:26">
      <c r="A4" s="90" t="str">
        <f>IFERROR(__xludf.dummyfunction("""COMPUTED_VALUE"""),"21/05/2026 11:32:39")</f>
        <v>21/05/2026 11:32:39</v>
      </c>
      <c r="B4" s="90" t="str">
        <f>IFERROR(__xludf.dummyfunction("""COMPUTED_VALUE"""),"3")</f>
        <v>3</v>
      </c>
      <c r="C4" s="144" t="str">
        <f>IFERROR(__xludf.dummyfunction("""COMPUTED_VALUE"""),"KAUÊ HENRIQUE DE ARAÚJO SILVA")</f>
        <v>KAUÊ HENRIQUE DE ARAÚJO SILVA</v>
      </c>
      <c r="D4" s="90" t="str">
        <f>IFERROR(__xludf.dummyfunction("""COMPUTED_VALUE"""),"01/04/2024")</f>
        <v>01/04/2024</v>
      </c>
      <c r="E4" s="90" t="str">
        <f>IFERROR(__xludf.dummyfunction("""COMPUTED_VALUE"""),"002.527.454-69")</f>
        <v>002.527.454-69</v>
      </c>
      <c r="F4" s="90" t="str">
        <f>IFERROR(__xludf.dummyfunction("""COMPUTED_VALUE"""),"INFANTIL 1")</f>
        <v>INFANTIL 1</v>
      </c>
      <c r="G4" s="90" t="str">
        <f>IFERROR(__xludf.dummyfunction("""COMPUTED_VALUE"""),"CEMEI DR. PAULO MENDES")</f>
        <v>CEMEI DR. PAULO MENDES</v>
      </c>
      <c r="H4" s="90" t="str">
        <f>IFERROR(__xludf.dummyfunction("""COMPUTED_VALUE"""),"REGIONAL 7")</f>
        <v>REGIONAL 7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26" spans="1:26">
      <c r="A5" s="90" t="str">
        <f>IFERROR(__xludf.dummyfunction("""COMPUTED_VALUE"""),"22/05/2026 09:22:30")</f>
        <v>22/05/2026 09:22:30</v>
      </c>
      <c r="B5" s="90" t="str">
        <f>IFERROR(__xludf.dummyfunction("""COMPUTED_VALUE"""),"4")</f>
        <v>4</v>
      </c>
      <c r="C5" s="144" t="str">
        <f>IFERROR(__xludf.dummyfunction("""COMPUTED_VALUE"""),"Aylla Eduarda Marques da Silva")</f>
        <v>Aylla Eduarda Marques da Silva</v>
      </c>
      <c r="D5" s="90" t="str">
        <f>IFERROR(__xludf.dummyfunction("""COMPUTED_VALUE"""),"27/07/2024")</f>
        <v>27/07/2024</v>
      </c>
      <c r="E5" s="90" t="str">
        <f>IFERROR(__xludf.dummyfunction("""COMPUTED_VALUE"""),"003.643.684-46")</f>
        <v>003.643.684-46</v>
      </c>
      <c r="F5" s="90" t="str">
        <f>IFERROR(__xludf.dummyfunction("""COMPUTED_VALUE"""),"INFANTIL 1")</f>
        <v>INFANTIL 1</v>
      </c>
      <c r="G5" s="90" t="str">
        <f>IFERROR(__xludf.dummyfunction("""COMPUTED_VALUE"""),"CEMEI DR. PAULO MENDES")</f>
        <v>CEMEI DR. PAULO MENDES</v>
      </c>
      <c r="H5" s="90" t="str">
        <f>IFERROR(__xludf.dummyfunction("""COMPUTED_VALUE"""),"REGIONAL 7")</f>
        <v>REGIONAL 7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26" spans="1:26">
      <c r="A6" s="90" t="str">
        <f>IFERROR(__xludf.dummyfunction("""COMPUTED_VALUE"""),"23/06/2026 09:32:02")</f>
        <v>23/06/2026 09:32:02</v>
      </c>
      <c r="B6" s="90" t="str">
        <f>IFERROR(__xludf.dummyfunction("""COMPUTED_VALUE"""),"5")</f>
        <v>5</v>
      </c>
      <c r="C6" s="144" t="str">
        <f>IFERROR(__xludf.dummyfunction("""COMPUTED_VALUE"""),"MARIANA LEANDRA TOMAZ DE MELO")</f>
        <v>MARIANA LEANDRA TOMAZ DE MELO</v>
      </c>
      <c r="D6" s="90" t="str">
        <f>IFERROR(__xludf.dummyfunction("""COMPUTED_VALUE"""),"25/11/2024")</f>
        <v>25/11/2024</v>
      </c>
      <c r="E6" s="90" t="str">
        <f>IFERROR(__xludf.dummyfunction("""COMPUTED_VALUE"""),"004.786.214-93")</f>
        <v>004.786.214-93</v>
      </c>
      <c r="F6" s="90" t="str">
        <f>IFERROR(__xludf.dummyfunction("""COMPUTED_VALUE"""),"INFANTIL 1")</f>
        <v>INFANTIL 1</v>
      </c>
      <c r="G6" s="90" t="str">
        <f>IFERROR(__xludf.dummyfunction("""COMPUTED_VALUE"""),"CEMEI DR. PAULO MENDES")</f>
        <v>CEMEI DR. PAULO MENDES</v>
      </c>
      <c r="H6" s="90" t="str">
        <f>IFERROR(__xludf.dummyfunction("""COMPUTED_VALUE"""),"REGIONAL 7")</f>
        <v>REGIONAL 7</v>
      </c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ht="26" spans="1:26">
      <c r="A7" s="90" t="str">
        <f>IFERROR(__xludf.dummyfunction("""COMPUTED_VALUE"""),"23/06/2026 09:36:48")</f>
        <v>23/06/2026 09:36:48</v>
      </c>
      <c r="B7" s="90" t="str">
        <f>IFERROR(__xludf.dummyfunction("""COMPUTED_VALUE"""),"6")</f>
        <v>6</v>
      </c>
      <c r="C7" s="144" t="str">
        <f>IFERROR(__xludf.dummyfunction("""COMPUTED_VALUE"""),"FERNANDA LEANDRA TOMAZ DE MELO")</f>
        <v>FERNANDA LEANDRA TOMAZ DE MELO</v>
      </c>
      <c r="D7" s="90" t="str">
        <f>IFERROR(__xludf.dummyfunction("""COMPUTED_VALUE"""),"25/11/2024")</f>
        <v>25/11/2024</v>
      </c>
      <c r="E7" s="90" t="str">
        <f>IFERROR(__xludf.dummyfunction("""COMPUTED_VALUE"""),"004.785.384-05")</f>
        <v>004.785.384-05</v>
      </c>
      <c r="F7" s="90" t="str">
        <f>IFERROR(__xludf.dummyfunction("""COMPUTED_VALUE"""),"INFANTIL 1")</f>
        <v>INFANTIL 1</v>
      </c>
      <c r="G7" s="90" t="str">
        <f>IFERROR(__xludf.dummyfunction("""COMPUTED_VALUE"""),"CEMEI DR. PAULO MENDES")</f>
        <v>CEMEI DR. PAULO MENDES</v>
      </c>
      <c r="H7" s="90" t="str">
        <f>IFERROR(__xludf.dummyfunction("""COMPUTED_VALUE"""),"REGIONAL 7")</f>
        <v>REGIONAL 7</v>
      </c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ht="26" spans="1:26">
      <c r="A8" s="90" t="str">
        <f>IFERROR(__xludf.dummyfunction("""COMPUTED_VALUE"""),"23/07/2026 04:45:19")</f>
        <v>23/07/2026 04:45:19</v>
      </c>
      <c r="B8" s="90" t="str">
        <f>IFERROR(__xludf.dummyfunction("""COMPUTED_VALUE"""),"7")</f>
        <v>7</v>
      </c>
      <c r="C8" s="144" t="str">
        <f>IFERROR(__xludf.dummyfunction("""COMPUTED_VALUE"""),"Ramon Oliveira Silva")</f>
        <v>Ramon Oliveira Silva</v>
      </c>
      <c r="D8" s="90" t="str">
        <f>IFERROR(__xludf.dummyfunction("""COMPUTED_VALUE"""),"17/11/2025")</f>
        <v>17/11/2025</v>
      </c>
      <c r="E8" s="90" t="str">
        <f>IFERROR(__xludf.dummyfunction("""COMPUTED_VALUE"""),"024.777.004-30")</f>
        <v>024.777.004-30</v>
      </c>
      <c r="F8" s="90" t="str">
        <f>IFERROR(__xludf.dummyfunction("""COMPUTED_VALUE"""),"INFANTIL 1")</f>
        <v>INFANTIL 1</v>
      </c>
      <c r="G8" s="90" t="str">
        <f>IFERROR(__xludf.dummyfunction("""COMPUTED_VALUE"""),"CEMEI DR. PAULO MENDES")</f>
        <v>CEMEI DR. PAULO MENDES</v>
      </c>
      <c r="H8" s="90" t="str">
        <f>IFERROR(__xludf.dummyfunction("""COMPUTED_VALUE"""),"REGIONAL 7")</f>
        <v>REGIONAL 7</v>
      </c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ht="26" spans="1:26">
      <c r="A9" s="90" t="str">
        <f>IFERROR(__xludf.dummyfunction("""COMPUTED_VALUE"""),"02/09/2026 11:53:05")</f>
        <v>02/09/2026 11:53:05</v>
      </c>
      <c r="B9" s="90" t="str">
        <f>IFERROR(__xludf.dummyfunction("""COMPUTED_VALUE"""),"8")</f>
        <v>8</v>
      </c>
      <c r="C9" s="144" t="str">
        <f>IFERROR(__xludf.dummyfunction("""COMPUTED_VALUE"""),"Efraim Miranda da Silva")</f>
        <v>Efraim Miranda da Silva</v>
      </c>
      <c r="D9" s="90" t="str">
        <f>IFERROR(__xludf.dummyfunction("""COMPUTED_VALUE"""),"06/07/2025")</f>
        <v>06/07/2025</v>
      </c>
      <c r="E9" s="90" t="str">
        <f>IFERROR(__xludf.dummyfunction("""COMPUTED_VALUE"""),"006.663.544-64")</f>
        <v>006.663.544-64</v>
      </c>
      <c r="F9" s="90" t="str">
        <f>IFERROR(__xludf.dummyfunction("""COMPUTED_VALUE"""),"INFANTIL 1")</f>
        <v>INFANTIL 1</v>
      </c>
      <c r="G9" s="90" t="str">
        <f>IFERROR(__xludf.dummyfunction("""COMPUTED_VALUE"""),"CEMEI DR. PAULO MENDES")</f>
        <v>CEMEI DR. PAULO MENDES</v>
      </c>
      <c r="H9" s="90" t="str">
        <f>IFERROR(__xludf.dummyfunction("""COMPUTED_VALUE"""),"REGIONAL 7")</f>
        <v>REGIONAL 7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ht="26" spans="1:26">
      <c r="A10" s="90" t="str">
        <f>IFERROR(__xludf.dummyfunction("""COMPUTED_VALUE"""),"10/06/2026 11:22:14")</f>
        <v>10/06/2026 11:22:14</v>
      </c>
      <c r="B10" s="90" t="str">
        <f>IFERROR(__xludf.dummyfunction("""COMPUTED_VALUE"""),"1")</f>
        <v>1</v>
      </c>
      <c r="C10" s="144" t="str">
        <f>IFERROR(__xludf.dummyfunction("""COMPUTED_VALUE"""),"BRUNO GABRIEL SOARES DA SILVA")</f>
        <v>BRUNO GABRIEL SOARES DA SILVA</v>
      </c>
      <c r="D10" s="90" t="str">
        <f>IFERROR(__xludf.dummyfunction("""COMPUTED_VALUE"""),"10/11/2023")</f>
        <v>10/11/2023</v>
      </c>
      <c r="E10" s="90" t="str">
        <f>IFERROR(__xludf.dummyfunction("""COMPUTED_VALUE"""),"001.026.744-18")</f>
        <v>001.026.744-18</v>
      </c>
      <c r="F10" s="90" t="str">
        <f>IFERROR(__xludf.dummyfunction("""COMPUTED_VALUE"""),"INFANTIL 2")</f>
        <v>INFANTIL 2</v>
      </c>
      <c r="G10" s="90" t="str">
        <f>IFERROR(__xludf.dummyfunction("""COMPUTED_VALUE"""),"CEMEI DR. PAULO MENDES")</f>
        <v>CEMEI DR. PAULO MENDES</v>
      </c>
      <c r="H10" s="90" t="str">
        <f>IFERROR(__xludf.dummyfunction("""COMPUTED_VALUE"""),"REGIONAL 7")</f>
        <v>REGIONAL 7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ht="26" spans="1:26">
      <c r="A11" s="90" t="str">
        <f>IFERROR(__xludf.dummyfunction("""COMPUTED_VALUE"""),"16/09/2026 22:07:06")</f>
        <v>16/09/2026 22:07:06</v>
      </c>
      <c r="B11" s="90" t="str">
        <f>IFERROR(__xludf.dummyfunction("""COMPUTED_VALUE"""),"2")</f>
        <v>2</v>
      </c>
      <c r="C11" s="144" t="str">
        <f>IFERROR(__xludf.dummyfunction("""COMPUTED_VALUE"""),"Theo Antonio Belarmino Cavalcanti")</f>
        <v>Theo Antonio Belarmino Cavalcanti</v>
      </c>
      <c r="D11" s="90" t="str">
        <f>IFERROR(__xludf.dummyfunction("""COMPUTED_VALUE"""),"20/09/2023")</f>
        <v>20/09/2023</v>
      </c>
      <c r="E11" s="90" t="str">
        <f>IFERROR(__xludf.dummyfunction("""COMPUTED_VALUE"""),"000.037.494-60")</f>
        <v>000.037.494-60</v>
      </c>
      <c r="F11" s="90" t="str">
        <f>IFERROR(__xludf.dummyfunction("""COMPUTED_VALUE"""),"INFANTIL 2")</f>
        <v>INFANTIL 2</v>
      </c>
      <c r="G11" s="90" t="str">
        <f>IFERROR(__xludf.dummyfunction("""COMPUTED_VALUE"""),"CEMEI DR. PAULO MENDES")</f>
        <v>CEMEI DR. PAULO MENDES</v>
      </c>
      <c r="H11" s="90" t="str">
        <f>IFERROR(__xludf.dummyfunction("""COMPUTED_VALUE"""),"REGIONAL 7")</f>
        <v>REGIONAL 7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ht="26" spans="1:26">
      <c r="A12" s="90" t="str">
        <f>IFERROR(__xludf.dummyfunction("""COMPUTED_VALUE"""),"18/05/2026 09:15:19")</f>
        <v>18/05/2026 09:15:19</v>
      </c>
      <c r="B12" s="90" t="str">
        <f>IFERROR(__xludf.dummyfunction("""COMPUTED_VALUE"""),"1")</f>
        <v>1</v>
      </c>
      <c r="C12" s="144" t="str">
        <f>IFERROR(__xludf.dummyfunction("""COMPUTED_VALUE"""),"HELLOYSE VITÓRIA SANTOS DUARTE")</f>
        <v>HELLOYSE VITÓRIA SANTOS DUARTE</v>
      </c>
      <c r="D12" s="90" t="str">
        <f>IFERROR(__xludf.dummyfunction("""COMPUTED_VALUE"""),"11/01/2023")</f>
        <v>11/01/2023</v>
      </c>
      <c r="E12" s="90" t="str">
        <f>IFERROR(__xludf.dummyfunction("""COMPUTED_VALUE"""),"184.035.244-20")</f>
        <v>184.035.244-20</v>
      </c>
      <c r="F12" s="90" t="str">
        <f>IFERROR(__xludf.dummyfunction("""COMPUTED_VALUE"""),"INFANTIL 3")</f>
        <v>INFANTIL 3</v>
      </c>
      <c r="G12" s="90" t="str">
        <f>IFERROR(__xludf.dummyfunction("""COMPUTED_VALUE"""),"CEMEI DR. PAULO MENDES")</f>
        <v>CEMEI DR. PAULO MENDES</v>
      </c>
      <c r="H12" s="90" t="str">
        <f>IFERROR(__xludf.dummyfunction("""COMPUTED_VALUE"""),"REGIONAL 7")</f>
        <v>REGIONAL 7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ht="26" spans="1:26">
      <c r="A13" s="90" t="str">
        <f>IFERROR(__xludf.dummyfunction("""COMPUTED_VALUE"""),"06/02/2026 09:17:41")</f>
        <v>06/02/2026 09:17:41</v>
      </c>
      <c r="B13" s="90" t="str">
        <f>IFERROR(__xludf.dummyfunction("""COMPUTED_VALUE"""),"1")</f>
        <v>1</v>
      </c>
      <c r="C13" s="144" t="str">
        <f>IFERROR(__xludf.dummyfunction("""COMPUTED_VALUE"""),"JOÃO VITOR CERQUEIRA CAMPOS")</f>
        <v>JOÃO VITOR CERQUEIRA CAMPOS</v>
      </c>
      <c r="D13" s="90" t="str">
        <f>IFERROR(__xludf.dummyfunction("""COMPUTED_VALUE"""),"26/03/2023")</f>
        <v>26/03/2023</v>
      </c>
      <c r="E13" s="90" t="str">
        <f>IFERROR(__xludf.dummyfunction("""COMPUTED_VALUE"""),"184.852.244-42")</f>
        <v>184.852.244-42</v>
      </c>
      <c r="F13" s="90" t="str">
        <f>IFERROR(__xludf.dummyfunction("""COMPUTED_VALUE"""),"INFANTIL 3")</f>
        <v>INFANTIL 3</v>
      </c>
      <c r="G13" s="90" t="str">
        <f>IFERROR(__xludf.dummyfunction("""COMPUTED_VALUE"""),"CEMEI ELIEL EUSTAQUIO DA SILVA")</f>
        <v>CEMEI ELIEL EUSTAQUIO DA SILVA</v>
      </c>
      <c r="H13" s="90" t="str">
        <f>IFERROR(__xludf.dummyfunction("""COMPUTED_VALUE"""),"REGIONAL 7")</f>
        <v>REGIONAL 7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ht="26" spans="1:26">
      <c r="A14" s="90" t="str">
        <f>IFERROR(__xludf.dummyfunction("""COMPUTED_VALUE"""),"04/05/2026 08:16:17")</f>
        <v>04/05/2026 08:16:17</v>
      </c>
      <c r="B14" s="90" t="str">
        <f>IFERROR(__xludf.dummyfunction("""COMPUTED_VALUE"""),"2")</f>
        <v>2</v>
      </c>
      <c r="C14" s="144" t="str">
        <f>IFERROR(__xludf.dummyfunction("""COMPUTED_VALUE"""),"ASAFE ALLAN DE PAULA SILVA")</f>
        <v>ASAFE ALLAN DE PAULA SILVA</v>
      </c>
      <c r="D14" s="90" t="str">
        <f>IFERROR(__xludf.dummyfunction("""COMPUTED_VALUE"""),"24/12/2022")</f>
        <v>24/12/2022</v>
      </c>
      <c r="E14" s="90" t="str">
        <f>IFERROR(__xludf.dummyfunction("""COMPUTED_VALUE"""),"183.832.884-09")</f>
        <v>183.832.884-09</v>
      </c>
      <c r="F14" s="90" t="str">
        <f>IFERROR(__xludf.dummyfunction("""COMPUTED_VALUE"""),"INFANTIL 3")</f>
        <v>INFANTIL 3</v>
      </c>
      <c r="G14" s="90" t="str">
        <f>IFERROR(__xludf.dummyfunction("""COMPUTED_VALUE"""),"CEMEI ELIEL EUSTAQUIO DA SILVA")</f>
        <v>CEMEI ELIEL EUSTAQUIO DA SILVA</v>
      </c>
      <c r="H14" s="90" t="str">
        <f>IFERROR(__xludf.dummyfunction("""COMPUTED_VALUE"""),"REGIONAL 7")</f>
        <v>REGIONAL 7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ht="26" spans="1:26">
      <c r="A15" s="90" t="str">
        <f>IFERROR(__xludf.dummyfunction("""COMPUTED_VALUE"""),"22/06/2026 14:09:23")</f>
        <v>22/06/2026 14:09:23</v>
      </c>
      <c r="B15" s="90" t="str">
        <f>IFERROR(__xludf.dummyfunction("""COMPUTED_VALUE"""),"3")</f>
        <v>3</v>
      </c>
      <c r="C15" s="144" t="str">
        <f>IFERROR(__xludf.dummyfunction("""COMPUTED_VALUE"""),"Isabella Valentina dos Santos")</f>
        <v>Isabella Valentina dos Santos</v>
      </c>
      <c r="D15" s="90" t="str">
        <f>IFERROR(__xludf.dummyfunction("""COMPUTED_VALUE"""),"07/04/2022")</f>
        <v>07/04/2022</v>
      </c>
      <c r="E15" s="90" t="str">
        <f>IFERROR(__xludf.dummyfunction("""COMPUTED_VALUE"""),"181.388.084-03")</f>
        <v>181.388.084-03</v>
      </c>
      <c r="F15" s="90" t="str">
        <f>IFERROR(__xludf.dummyfunction("""COMPUTED_VALUE"""),"INFANTIL 3")</f>
        <v>INFANTIL 3</v>
      </c>
      <c r="G15" s="90" t="str">
        <f>IFERROR(__xludf.dummyfunction("""COMPUTED_VALUE"""),"CEMEI ELIEL EUSTAQUIO DA SILVA")</f>
        <v>CEMEI ELIEL EUSTAQUIO DA SILVA</v>
      </c>
      <c r="H15" s="90" t="str">
        <f>IFERROR(__xludf.dummyfunction("""COMPUTED_VALUE"""),"REGIONAL 7")</f>
        <v>REGIONAL 7</v>
      </c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ht="26" spans="1:26">
      <c r="A16" s="90" t="str">
        <f>IFERROR(__xludf.dummyfunction("""COMPUTED_VALUE"""),"10/09/2026 09:46:29")</f>
        <v>10/09/2026 09:46:29</v>
      </c>
      <c r="B16" s="90" t="str">
        <f>IFERROR(__xludf.dummyfunction("""COMPUTED_VALUE"""),"4")</f>
        <v>4</v>
      </c>
      <c r="C16" s="144" t="str">
        <f>IFERROR(__xludf.dummyfunction("""COMPUTED_VALUE"""),"Samuel dos Santos Pereira da Silva")</f>
        <v>Samuel dos Santos Pereira da Silva</v>
      </c>
      <c r="D16" s="90" t="str">
        <f>IFERROR(__xludf.dummyfunction("""COMPUTED_VALUE"""),"08/10/2022")</f>
        <v>08/10/2022</v>
      </c>
      <c r="E16" s="90" t="str">
        <f>IFERROR(__xludf.dummyfunction("""COMPUTED_VALUE"""),"183.072.104-61")</f>
        <v>183.072.104-61</v>
      </c>
      <c r="F16" s="90" t="str">
        <f>IFERROR(__xludf.dummyfunction("""COMPUTED_VALUE"""),"INFANTIL 3")</f>
        <v>INFANTIL 3</v>
      </c>
      <c r="G16" s="90" t="str">
        <f>IFERROR(__xludf.dummyfunction("""COMPUTED_VALUE"""),"CEMEI ELIEL EUSTAQUIO DA SILVA")</f>
        <v>CEMEI ELIEL EUSTAQUIO DA SILVA</v>
      </c>
      <c r="H16" s="90" t="str">
        <f>IFERROR(__xludf.dummyfunction("""COMPUTED_VALUE"""),"REGIONAL 7")</f>
        <v>REGIONAL 7</v>
      </c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ht="26" spans="1:26">
      <c r="A17" s="90" t="str">
        <f>IFERROR(__xludf.dummyfunction("""COMPUTED_VALUE"""),"09/03/2026 17:29:00")</f>
        <v>09/03/2026 17:29:00</v>
      </c>
      <c r="B17" s="90" t="str">
        <f>IFERROR(__xludf.dummyfunction("""COMPUTED_VALUE"""),"1")</f>
        <v>1</v>
      </c>
      <c r="C17" s="144" t="str">
        <f>IFERROR(__xludf.dummyfunction("""COMPUTED_VALUE"""),"MIGUEL DE CARVALHO MELO CARDOSO")</f>
        <v>MIGUEL DE CARVALHO MELO CARDOSO</v>
      </c>
      <c r="D17" s="90" t="str">
        <f>IFERROR(__xludf.dummyfunction("""COMPUTED_VALUE"""),"21/05/2024")</f>
        <v>21/05/2024</v>
      </c>
      <c r="E17" s="90" t="str">
        <f>IFERROR(__xludf.dummyfunction("""COMPUTED_VALUE"""),"003.288.894-58")</f>
        <v>003.288.894-58</v>
      </c>
      <c r="F17" s="90" t="str">
        <f>IFERROR(__xludf.dummyfunction("""COMPUTED_VALUE"""),"INFANTIL 1")</f>
        <v>INFANTIL 1</v>
      </c>
      <c r="G17" s="90" t="str">
        <f>IFERROR(__xludf.dummyfunction("""COMPUTED_VALUE"""),"CEMEI LIGIA ARAUJO DE OLIVEIRA")</f>
        <v>CEMEI LIGIA ARAUJO DE OLIVEIRA</v>
      </c>
      <c r="H17" s="90" t="str">
        <f>IFERROR(__xludf.dummyfunction("""COMPUTED_VALUE"""),"REGIONAL 6")</f>
        <v>REGIONAL 6</v>
      </c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ht="26" spans="1:26">
      <c r="A18" s="90" t="str">
        <f>IFERROR(__xludf.dummyfunction("""COMPUTED_VALUE"""),"23/03/2026 19:01:28")</f>
        <v>23/03/2026 19:01:28</v>
      </c>
      <c r="B18" s="90" t="str">
        <f>IFERROR(__xludf.dummyfunction("""COMPUTED_VALUE"""),"2")</f>
        <v>2</v>
      </c>
      <c r="C18" s="144" t="str">
        <f>IFERROR(__xludf.dummyfunction("""COMPUTED_VALUE"""),"LIAN SALAZAR SERNA")</f>
        <v>LIAN SALAZAR SERNA</v>
      </c>
      <c r="D18" s="90" t="str">
        <f>IFERROR(__xludf.dummyfunction("""COMPUTED_VALUE"""),"15/05/2024")</f>
        <v>15/05/2024</v>
      </c>
      <c r="E18" s="90" t="str">
        <f>IFERROR(__xludf.dummyfunction("""COMPUTED_VALUE"""),"003.732.314-82")</f>
        <v>003.732.314-82</v>
      </c>
      <c r="F18" s="90" t="str">
        <f>IFERROR(__xludf.dummyfunction("""COMPUTED_VALUE"""),"INFANTIL 1")</f>
        <v>INFANTIL 1</v>
      </c>
      <c r="G18" s="90" t="str">
        <f>IFERROR(__xludf.dummyfunction("""COMPUTED_VALUE"""),"CEMEI LIGIA ARAUJO DE OLIVEIRA")</f>
        <v>CEMEI LIGIA ARAUJO DE OLIVEIRA</v>
      </c>
      <c r="H18" s="90" t="str">
        <f>IFERROR(__xludf.dummyfunction("""COMPUTED_VALUE"""),"REGIONAL 6")</f>
        <v>REGIONAL 6</v>
      </c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ht="26" spans="1:26">
      <c r="A19" s="90" t="str">
        <f>IFERROR(__xludf.dummyfunction("""COMPUTED_VALUE"""),"25/08/2026 13:04:30")</f>
        <v>25/08/2026 13:04:30</v>
      </c>
      <c r="B19" s="90" t="str">
        <f>IFERROR(__xludf.dummyfunction("""COMPUTED_VALUE"""),"3")</f>
        <v>3</v>
      </c>
      <c r="C19" s="144" t="str">
        <f>IFERROR(__xludf.dummyfunction("""COMPUTED_VALUE"""),"Lucca ravi do santos ferraz")</f>
        <v>Lucca ravi do santos ferraz</v>
      </c>
      <c r="D19" s="90" t="str">
        <f>IFERROR(__xludf.dummyfunction("""COMPUTED_VALUE"""),"26/12/2025")</f>
        <v>26/12/2025</v>
      </c>
      <c r="E19" s="90" t="str">
        <f>IFERROR(__xludf.dummyfunction("""COMPUTED_VALUE"""),"037.044.904-58")</f>
        <v>037.044.904-58</v>
      </c>
      <c r="F19" s="90" t="str">
        <f>IFERROR(__xludf.dummyfunction("""COMPUTED_VALUE"""),"INFANTIL 1")</f>
        <v>INFANTIL 1</v>
      </c>
      <c r="G19" s="90" t="str">
        <f>IFERROR(__xludf.dummyfunction("""COMPUTED_VALUE"""),"CEMEI LIGIA ARAUJO DE OLIVEIRA")</f>
        <v>CEMEI LIGIA ARAUJO DE OLIVEIRA</v>
      </c>
      <c r="H19" s="90" t="str">
        <f>IFERROR(__xludf.dummyfunction("""COMPUTED_VALUE"""),"REGIONAL 6")</f>
        <v>REGIONAL 6</v>
      </c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ht="26" spans="1:26">
      <c r="A20" s="90" t="str">
        <f>IFERROR(__xludf.dummyfunction("""COMPUTED_VALUE"""),"29/08/2026 22:31:44")</f>
        <v>29/08/2026 22:31:44</v>
      </c>
      <c r="B20" s="90" t="str">
        <f>IFERROR(__xludf.dummyfunction("""COMPUTED_VALUE"""),"4")</f>
        <v>4</v>
      </c>
      <c r="C20" s="144" t="str">
        <f>IFERROR(__xludf.dummyfunction("""COMPUTED_VALUE"""),"Benício Alves Silva")</f>
        <v>Benício Alves Silva</v>
      </c>
      <c r="D20" s="90" t="str">
        <f>IFERROR(__xludf.dummyfunction("""COMPUTED_VALUE"""),"05/08/2025")</f>
        <v>05/08/2025</v>
      </c>
      <c r="E20" s="90" t="str">
        <f>IFERROR(__xludf.dummyfunction("""COMPUTED_VALUE"""),"007.002.114-70")</f>
        <v>007.002.114-70</v>
      </c>
      <c r="F20" s="90" t="str">
        <f>IFERROR(__xludf.dummyfunction("""COMPUTED_VALUE"""),"INFANTIL 1")</f>
        <v>INFANTIL 1</v>
      </c>
      <c r="G20" s="90" t="str">
        <f>IFERROR(__xludf.dummyfunction("""COMPUTED_VALUE"""),"CEMEI LIGIA ARAUJO DE OLIVEIRA")</f>
        <v>CEMEI LIGIA ARAUJO DE OLIVEIRA</v>
      </c>
      <c r="H20" s="90" t="str">
        <f>IFERROR(__xludf.dummyfunction("""COMPUTED_VALUE"""),"REGIONAL 6")</f>
        <v>REGIONAL 6</v>
      </c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ht="15.75" customHeight="1" spans="1:26">
      <c r="A21" s="90" t="str">
        <f>IFERROR(__xludf.dummyfunction("""COMPUTED_VALUE"""),"28/01/2026 08:07:40")</f>
        <v>28/01/2026 08:07:40</v>
      </c>
      <c r="B21" s="90" t="str">
        <f>IFERROR(__xludf.dummyfunction("""COMPUTED_VALUE"""),"1")</f>
        <v>1</v>
      </c>
      <c r="C21" s="144" t="str">
        <f>IFERROR(__xludf.dummyfunction("""COMPUTED_VALUE"""),"ÍCARO MIGUEL ESPÍNDOLA DA SILVA")</f>
        <v>ÍCARO MIGUEL ESPÍNDOLA DA SILVA</v>
      </c>
      <c r="D21" s="90" t="str">
        <f>IFERROR(__xludf.dummyfunction("""COMPUTED_VALUE"""),"19/08/2023")</f>
        <v>19/08/2023</v>
      </c>
      <c r="E21" s="90" t="str">
        <f>IFERROR(__xludf.dummyfunction("""COMPUTED_VALUE"""),"001.566.454-67")</f>
        <v>001.566.454-67</v>
      </c>
      <c r="F21" s="90" t="str">
        <f>IFERROR(__xludf.dummyfunction("""COMPUTED_VALUE"""),"INFANTIL 2")</f>
        <v>INFANTIL 2</v>
      </c>
      <c r="G21" s="90" t="str">
        <f>IFERROR(__xludf.dummyfunction("""COMPUTED_VALUE"""),"CEMEI LIGIA ARAUJO DE OLIVEIRA")</f>
        <v>CEMEI LIGIA ARAUJO DE OLIVEIRA</v>
      </c>
      <c r="H21" s="90" t="str">
        <f>IFERROR(__xludf.dummyfunction("""COMPUTED_VALUE"""),"REGIONAL 6")</f>
        <v>REGIONAL 6</v>
      </c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ht="15.75" customHeight="1" spans="1:26">
      <c r="A22" s="90" t="str">
        <f>IFERROR(__xludf.dummyfunction("""COMPUTED_VALUE"""),"29/01/2026 10:35:38")</f>
        <v>29/01/2026 10:35:38</v>
      </c>
      <c r="B22" s="90" t="str">
        <f>IFERROR(__xludf.dummyfunction("""COMPUTED_VALUE"""),"2")</f>
        <v>2</v>
      </c>
      <c r="C22" s="144" t="str">
        <f>IFERROR(__xludf.dummyfunction("""COMPUTED_VALUE"""),"OLIVER HEITOR LINS LIRA")</f>
        <v>OLIVER HEITOR LINS LIRA</v>
      </c>
      <c r="D22" s="90" t="str">
        <f>IFERROR(__xludf.dummyfunction("""COMPUTED_VALUE"""),"27/05/2023")</f>
        <v>27/05/2023</v>
      </c>
      <c r="E22" s="90" t="str">
        <f>IFERROR(__xludf.dummyfunction("""COMPUTED_VALUE"""),"185.479.534-18")</f>
        <v>185.479.534-18</v>
      </c>
      <c r="F22" s="90" t="str">
        <f>IFERROR(__xludf.dummyfunction("""COMPUTED_VALUE"""),"INFANTIL 2")</f>
        <v>INFANTIL 2</v>
      </c>
      <c r="G22" s="90" t="str">
        <f>IFERROR(__xludf.dummyfunction("""COMPUTED_VALUE"""),"CEMEI LIGIA ARAUJO DE OLIVEIRA")</f>
        <v>CEMEI LIGIA ARAUJO DE OLIVEIRA</v>
      </c>
      <c r="H22" s="90" t="str">
        <f>IFERROR(__xludf.dummyfunction("""COMPUTED_VALUE"""),"REGIONAL 6")</f>
        <v>REGIONAL 6</v>
      </c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ht="15.75" customHeight="1" spans="1:26">
      <c r="A23" s="90" t="str">
        <f>IFERROR(__xludf.dummyfunction("""COMPUTED_VALUE"""),"11/03/2026 10:19:05")</f>
        <v>11/03/2026 10:19:05</v>
      </c>
      <c r="B23" s="90" t="str">
        <f>IFERROR(__xludf.dummyfunction("""COMPUTED_VALUE"""),"3")</f>
        <v>3</v>
      </c>
      <c r="C23" s="144" t="str">
        <f>IFERROR(__xludf.dummyfunction("""COMPUTED_VALUE"""),"ALISSON GABRIEL DOS SANTOS SILVA")</f>
        <v>ALISSON GABRIEL DOS SANTOS SILVA</v>
      </c>
      <c r="D23" s="90" t="str">
        <f>IFERROR(__xludf.dummyfunction("""COMPUTED_VALUE"""),"30/12/2023")</f>
        <v>30/12/2023</v>
      </c>
      <c r="E23" s="90" t="str">
        <f>IFERROR(__xludf.dummyfunction("""COMPUTED_VALUE"""),"001.878.044-00")</f>
        <v>001.878.044-00</v>
      </c>
      <c r="F23" s="90" t="str">
        <f>IFERROR(__xludf.dummyfunction("""COMPUTED_VALUE"""),"INFANTIL 2")</f>
        <v>INFANTIL 2</v>
      </c>
      <c r="G23" s="90" t="str">
        <f>IFERROR(__xludf.dummyfunction("""COMPUTED_VALUE"""),"CEMEI LIGIA ARAUJO DE OLIVEIRA")</f>
        <v>CEMEI LIGIA ARAUJO DE OLIVEIRA</v>
      </c>
      <c r="H23" s="90" t="str">
        <f>IFERROR(__xludf.dummyfunction("""COMPUTED_VALUE"""),"REGIONAL 6")</f>
        <v>REGIONAL 6</v>
      </c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ht="15.75" customHeight="1" spans="1:26">
      <c r="A24" s="90" t="str">
        <f>IFERROR(__xludf.dummyfunction("""COMPUTED_VALUE"""),"20/04/2026 12:53:45")</f>
        <v>20/04/2026 12:53:45</v>
      </c>
      <c r="B24" s="90" t="str">
        <f>IFERROR(__xludf.dummyfunction("""COMPUTED_VALUE"""),"4")</f>
        <v>4</v>
      </c>
      <c r="C24" s="144" t="str">
        <f>IFERROR(__xludf.dummyfunction("""COMPUTED_VALUE"""),"ISABELA MARIA DIAS DA SILVA")</f>
        <v>ISABELA MARIA DIAS DA SILVA</v>
      </c>
      <c r="D24" s="90" t="str">
        <f>IFERROR(__xludf.dummyfunction("""COMPUTED_VALUE"""),"02/05/2023")</f>
        <v>02/05/2023</v>
      </c>
      <c r="E24" s="90" t="str">
        <f>IFERROR(__xludf.dummyfunction("""COMPUTED_VALUE"""),"166.511.419-37")</f>
        <v>166.511.419-37</v>
      </c>
      <c r="F24" s="90" t="str">
        <f>IFERROR(__xludf.dummyfunction("""COMPUTED_VALUE"""),"INFANTIL 2")</f>
        <v>INFANTIL 2</v>
      </c>
      <c r="G24" s="90" t="str">
        <f>IFERROR(__xludf.dummyfunction("""COMPUTED_VALUE"""),"CEMEI LIGIA ARAUJO DE OLIVEIRA")</f>
        <v>CEMEI LIGIA ARAUJO DE OLIVEIRA</v>
      </c>
      <c r="H24" s="90" t="str">
        <f>IFERROR(__xludf.dummyfunction("""COMPUTED_VALUE"""),"REGIONAL 6")</f>
        <v>REGIONAL 6</v>
      </c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ht="15.75" customHeight="1" spans="1:26">
      <c r="A25" s="90" t="str">
        <f>IFERROR(__xludf.dummyfunction("""COMPUTED_VALUE"""),"08/05/2026 07:30:21")</f>
        <v>08/05/2026 07:30:21</v>
      </c>
      <c r="B25" s="90" t="str">
        <f>IFERROR(__xludf.dummyfunction("""COMPUTED_VALUE"""),"5")</f>
        <v>5</v>
      </c>
      <c r="C25" s="144" t="str">
        <f>IFERROR(__xludf.dummyfunction("""COMPUTED_VALUE"""),"HEITOR GABRIEL MARQUES DOS SANTOS")</f>
        <v>HEITOR GABRIEL MARQUES DOS SANTOS</v>
      </c>
      <c r="D25" s="90" t="str">
        <f>IFERROR(__xludf.dummyfunction("""COMPUTED_VALUE"""),"20/05/2023")</f>
        <v>20/05/2023</v>
      </c>
      <c r="E25" s="90" t="str">
        <f>IFERROR(__xludf.dummyfunction("""COMPUTED_VALUE"""),"185.759.414-29")</f>
        <v>185.759.414-29</v>
      </c>
      <c r="F25" s="90" t="str">
        <f>IFERROR(__xludf.dummyfunction("""COMPUTED_VALUE"""),"INFANTIL 2")</f>
        <v>INFANTIL 2</v>
      </c>
      <c r="G25" s="90" t="str">
        <f>IFERROR(__xludf.dummyfunction("""COMPUTED_VALUE"""),"CEMEI LIGIA ARAUJO DE OLIVEIRA")</f>
        <v>CEMEI LIGIA ARAUJO DE OLIVEIRA</v>
      </c>
      <c r="H25" s="90" t="str">
        <f>IFERROR(__xludf.dummyfunction("""COMPUTED_VALUE"""),"REGIONAL 6")</f>
        <v>REGIONAL 6</v>
      </c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ht="15.75" customHeight="1" spans="1:26">
      <c r="A26" s="90" t="str">
        <f>IFERROR(__xludf.dummyfunction("""COMPUTED_VALUE"""),"10/06/2026 09:35:26")</f>
        <v>10/06/2026 09:35:26</v>
      </c>
      <c r="B26" s="90" t="str">
        <f>IFERROR(__xludf.dummyfunction("""COMPUTED_VALUE"""),"6")</f>
        <v>6</v>
      </c>
      <c r="C26" s="144" t="str">
        <f>IFERROR(__xludf.dummyfunction("""COMPUTED_VALUE"""),"HENRIQUE LORENZO PACHECO DA SILVA")</f>
        <v>HENRIQUE LORENZO PACHECO DA SILVA</v>
      </c>
      <c r="D26" s="90" t="str">
        <f>IFERROR(__xludf.dummyfunction("""COMPUTED_VALUE"""),"22/06/2023")</f>
        <v>22/06/2023</v>
      </c>
      <c r="E26" s="90" t="str">
        <f>IFERROR(__xludf.dummyfunction("""COMPUTED_VALUE"""),"035.434.204-53")</f>
        <v>035.434.204-53</v>
      </c>
      <c r="F26" s="90" t="str">
        <f>IFERROR(__xludf.dummyfunction("""COMPUTED_VALUE"""),"INFANTIL 2")</f>
        <v>INFANTIL 2</v>
      </c>
      <c r="G26" s="90" t="str">
        <f>IFERROR(__xludf.dummyfunction("""COMPUTED_VALUE"""),"CEMEI LIGIA ARAUJO DE OLIVEIRA")</f>
        <v>CEMEI LIGIA ARAUJO DE OLIVEIRA</v>
      </c>
      <c r="H26" s="90" t="str">
        <f>IFERROR(__xludf.dummyfunction("""COMPUTED_VALUE"""),"REGIONAL 6")</f>
        <v>REGIONAL 6</v>
      </c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ht="15.75" customHeight="1" spans="1:26">
      <c r="A27" s="90" t="str">
        <f>IFERROR(__xludf.dummyfunction("""COMPUTED_VALUE"""),"03/02/2026 14:12:28")</f>
        <v>03/02/2026 14:12:28</v>
      </c>
      <c r="B27" s="90" t="str">
        <f>IFERROR(__xludf.dummyfunction("""COMPUTED_VALUE"""),"1")</f>
        <v>1</v>
      </c>
      <c r="C27" s="144" t="str">
        <f>IFERROR(__xludf.dummyfunction("""COMPUTED_VALUE"""),"AYLLA FERREIRA DA SILVA")</f>
        <v>AYLLA FERREIRA DA SILVA</v>
      </c>
      <c r="D27" s="90" t="str">
        <f>IFERROR(__xludf.dummyfunction("""COMPUTED_VALUE"""),"22/11/2022")</f>
        <v>22/11/2022</v>
      </c>
      <c r="E27" s="90" t="str">
        <f>IFERROR(__xludf.dummyfunction("""COMPUTED_VALUE"""),"183.532.494-05")</f>
        <v>183.532.494-05</v>
      </c>
      <c r="F27" s="90" t="str">
        <f>IFERROR(__xludf.dummyfunction("""COMPUTED_VALUE"""),"INFANTIL 3")</f>
        <v>INFANTIL 3</v>
      </c>
      <c r="G27" s="90" t="str">
        <f>IFERROR(__xludf.dummyfunction("""COMPUTED_VALUE"""),"CEMEI LIGIA ARAUJO DE OLIVEIRA")</f>
        <v>CEMEI LIGIA ARAUJO DE OLIVEIRA</v>
      </c>
      <c r="H27" s="90" t="str">
        <f>IFERROR(__xludf.dummyfunction("""COMPUTED_VALUE"""),"REGIONAL 6")</f>
        <v>REGIONAL 6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ht="15.75" customHeight="1" spans="1:26">
      <c r="A28" s="90" t="str">
        <f>IFERROR(__xludf.dummyfunction("""COMPUTED_VALUE"""),"03/02/2026 14:18:57")</f>
        <v>03/02/2026 14:18:57</v>
      </c>
      <c r="B28" s="90" t="str">
        <f>IFERROR(__xludf.dummyfunction("""COMPUTED_VALUE"""),"2")</f>
        <v>2</v>
      </c>
      <c r="C28" s="144" t="str">
        <f>IFERROR(__xludf.dummyfunction("""COMPUTED_VALUE"""),"ALYCIA FERREIRA DA SILVA")</f>
        <v>ALYCIA FERREIRA DA SILVA</v>
      </c>
      <c r="D28" s="90" t="str">
        <f>IFERROR(__xludf.dummyfunction("""COMPUTED_VALUE"""),"22/11/2022")</f>
        <v>22/11/2022</v>
      </c>
      <c r="E28" s="90" t="str">
        <f>IFERROR(__xludf.dummyfunction("""COMPUTED_VALUE"""),"183.532.504-11")</f>
        <v>183.532.504-11</v>
      </c>
      <c r="F28" s="90" t="str">
        <f>IFERROR(__xludf.dummyfunction("""COMPUTED_VALUE"""),"INFANTIL 3")</f>
        <v>INFANTIL 3</v>
      </c>
      <c r="G28" s="90" t="str">
        <f>IFERROR(__xludf.dummyfunction("""COMPUTED_VALUE"""),"CEMEI LIGIA ARAUJO DE OLIVEIRA")</f>
        <v>CEMEI LIGIA ARAUJO DE OLIVEIRA</v>
      </c>
      <c r="H28" s="90" t="str">
        <f>IFERROR(__xludf.dummyfunction("""COMPUTED_VALUE"""),"REGIONAL 6")</f>
        <v>REGIONAL 6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ht="15.75" customHeight="1" spans="1:26">
      <c r="A29" s="90" t="str">
        <f>IFERROR(__xludf.dummyfunction("""COMPUTED_VALUE"""),"23/02/2026 20:39:24")</f>
        <v>23/02/2026 20:39:24</v>
      </c>
      <c r="B29" s="90" t="str">
        <f>IFERROR(__xludf.dummyfunction("""COMPUTED_VALUE"""),"3")</f>
        <v>3</v>
      </c>
      <c r="C29" s="144" t="str">
        <f>IFERROR(__xludf.dummyfunction("""COMPUTED_VALUE"""),"ABRAÃO EMANOEL PINHEIRO DA SILVA")</f>
        <v>ABRAÃO EMANOEL PINHEIRO DA SILVA</v>
      </c>
      <c r="D29" s="90" t="str">
        <f>IFERROR(__xludf.dummyfunction("""COMPUTED_VALUE"""),"31/08/2022")</f>
        <v>31/08/2022</v>
      </c>
      <c r="E29" s="90" t="str">
        <f>IFERROR(__xludf.dummyfunction("""COMPUTED_VALUE"""),"182.714.394-05")</f>
        <v>182.714.394-05</v>
      </c>
      <c r="F29" s="90" t="str">
        <f>IFERROR(__xludf.dummyfunction("""COMPUTED_VALUE"""),"INFANTIL 3")</f>
        <v>INFANTIL 3</v>
      </c>
      <c r="G29" s="90" t="str">
        <f>IFERROR(__xludf.dummyfunction("""COMPUTED_VALUE"""),"CEMEI LIGIA ARAUJO DE OLIVEIRA")</f>
        <v>CEMEI LIGIA ARAUJO DE OLIVEIRA</v>
      </c>
      <c r="H29" s="90" t="str">
        <f>IFERROR(__xludf.dummyfunction("""COMPUTED_VALUE"""),"REGIONAL 6")</f>
        <v>REGIONAL 6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ht="15.75" customHeight="1" spans="1:26">
      <c r="A30" s="90" t="str">
        <f>IFERROR(__xludf.dummyfunction("""COMPUTED_VALUE"""),"11/08/2026 13:20:40")</f>
        <v>11/08/2026 13:20:40</v>
      </c>
      <c r="B30" s="90" t="str">
        <f>IFERROR(__xludf.dummyfunction("""COMPUTED_VALUE"""),"4")</f>
        <v>4</v>
      </c>
      <c r="C30" s="144" t="str">
        <f>IFERROR(__xludf.dummyfunction("""COMPUTED_VALUE"""),"Kiara Heloise dos Santos")</f>
        <v>Kiara Heloise dos Santos</v>
      </c>
      <c r="D30" s="90" t="str">
        <f>IFERROR(__xludf.dummyfunction("""COMPUTED_VALUE"""),"09/03/2023")</f>
        <v>09/03/2023</v>
      </c>
      <c r="E30" s="90" t="str">
        <f>IFERROR(__xludf.dummyfunction("""COMPUTED_VALUE"""),"184.757.404-13")</f>
        <v>184.757.404-13</v>
      </c>
      <c r="F30" s="90" t="str">
        <f>IFERROR(__xludf.dummyfunction("""COMPUTED_VALUE"""),"INFANTIL 3")</f>
        <v>INFANTIL 3</v>
      </c>
      <c r="G30" s="90" t="str">
        <f>IFERROR(__xludf.dummyfunction("""COMPUTED_VALUE"""),"CEMEI LIGIA ARAUJO DE OLIVEIRA")</f>
        <v>CEMEI LIGIA ARAUJO DE OLIVEIRA</v>
      </c>
      <c r="H30" s="90" t="str">
        <f>IFERROR(__xludf.dummyfunction("""COMPUTED_VALUE"""),"REGIONAL 6")</f>
        <v>REGIONAL 6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ht="15.75" customHeight="1" spans="1:26">
      <c r="A31" s="90" t="str">
        <f>IFERROR(__xludf.dummyfunction("""COMPUTED_VALUE"""),"09/07/2026 20:11:39")</f>
        <v>09/07/2026 20:11:39</v>
      </c>
      <c r="B31" s="90" t="str">
        <f>IFERROR(__xludf.dummyfunction("""COMPUTED_VALUE"""),"1")</f>
        <v>1</v>
      </c>
      <c r="C31" s="144" t="str">
        <f>IFERROR(__xludf.dummyfunction("""COMPUTED_VALUE"""),"MARIA CLARA VASCONCELOS DA SILVA")</f>
        <v>MARIA CLARA VASCONCELOS DA SILVA</v>
      </c>
      <c r="D31" s="90" t="str">
        <f>IFERROR(__xludf.dummyfunction("""COMPUTED_VALUE"""),"02/06/2023")</f>
        <v>02/06/2023</v>
      </c>
      <c r="E31" s="90" t="str">
        <f>IFERROR(__xludf.dummyfunction("""COMPUTED_VALUE"""),"185.771.984-05")</f>
        <v>185.771.984-05</v>
      </c>
      <c r="F31" s="90" t="str">
        <f>IFERROR(__xludf.dummyfunction("""COMPUTED_VALUE"""),"INFANTIL 2")</f>
        <v>INFANTIL 2</v>
      </c>
      <c r="G31" s="90" t="str">
        <f>IFERROR(__xludf.dummyfunction("""COMPUTED_VALUE"""),"CEMEI LUIZ FERNANDO DE CARVALHO ARCOVERDE")</f>
        <v>CEMEI LUIZ FERNANDO DE CARVALHO ARCOVERDE</v>
      </c>
      <c r="H31" s="90" t="str">
        <f>IFERROR(__xludf.dummyfunction("""COMPUTED_VALUE"""),"REGIONAL 2")</f>
        <v>REGIONAL 2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ht="15.75" customHeight="1" spans="1:26">
      <c r="A32" s="90" t="str">
        <f>IFERROR(__xludf.dummyfunction("""COMPUTED_VALUE"""),"24/07/2026 16:57:07")</f>
        <v>24/07/2026 16:57:07</v>
      </c>
      <c r="B32" s="90" t="str">
        <f>IFERROR(__xludf.dummyfunction("""COMPUTED_VALUE"""),"2")</f>
        <v>2</v>
      </c>
      <c r="C32" s="144" t="str">
        <f>IFERROR(__xludf.dummyfunction("""COMPUTED_VALUE"""),"Isaac luiz Maia do Nascimento")</f>
        <v>Isaac luiz Maia do Nascimento</v>
      </c>
      <c r="D32" s="90" t="str">
        <f>IFERROR(__xludf.dummyfunction("""COMPUTED_VALUE"""),"11/12/2023")</f>
        <v>11/12/2023</v>
      </c>
      <c r="E32" s="90" t="str">
        <f>IFERROR(__xludf.dummyfunction("""COMPUTED_VALUE"""),"001.976.204-69")</f>
        <v>001.976.204-69</v>
      </c>
      <c r="F32" s="90" t="str">
        <f>IFERROR(__xludf.dummyfunction("""COMPUTED_VALUE"""),"INFANTIL 2")</f>
        <v>INFANTIL 2</v>
      </c>
      <c r="G32" s="90" t="str">
        <f>IFERROR(__xludf.dummyfunction("""COMPUTED_VALUE"""),"CEMEI LUIZ FERNANDO DE CARVALHO ARCOVERDE")</f>
        <v>CEMEI LUIZ FERNANDO DE CARVALHO ARCOVERDE</v>
      </c>
      <c r="H32" s="90" t="str">
        <f>IFERROR(__xludf.dummyfunction("""COMPUTED_VALUE"""),"REGIONAL 2")</f>
        <v>REGIONAL 2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ht="15.75" customHeight="1" spans="1:26">
      <c r="A33" s="90" t="str">
        <f>IFERROR(__xludf.dummyfunction("""COMPUTED_VALUE"""),"19/03/2026 08:28:18")</f>
        <v>19/03/2026 08:28:18</v>
      </c>
      <c r="B33" s="90" t="str">
        <f>IFERROR(__xludf.dummyfunction("""COMPUTED_VALUE"""),"1")</f>
        <v>1</v>
      </c>
      <c r="C33" s="144" t="str">
        <f>IFERROR(__xludf.dummyfunction("""COMPUTED_VALUE"""),"MARIA CLARA DE LIMA")</f>
        <v>MARIA CLARA DE LIMA</v>
      </c>
      <c r="D33" s="90" t="str">
        <f>IFERROR(__xludf.dummyfunction("""COMPUTED_VALUE"""),"16/12/2024")</f>
        <v>16/12/2024</v>
      </c>
      <c r="E33" s="90" t="str">
        <f>IFERROR(__xludf.dummyfunction("""COMPUTED_VALUE"""),"004.995.084-32")</f>
        <v>004.995.084-32</v>
      </c>
      <c r="F33" s="90" t="str">
        <f>IFERROR(__xludf.dummyfunction("""COMPUTED_VALUE"""),"INFANTIL 1")</f>
        <v>INFANTIL 1</v>
      </c>
      <c r="G33" s="90" t="str">
        <f>IFERROR(__xludf.dummyfunction("""COMPUTED_VALUE"""),"CEMEI PROFª MARIA LUZIA RIO LIMA")</f>
        <v>CEMEI PROFª MARIA LUZIA RIO LIMA</v>
      </c>
      <c r="H33" s="90" t="str">
        <f>IFERROR(__xludf.dummyfunction("""COMPUTED_VALUE"""),"REGIONAL 5")</f>
        <v>REGIONAL 5</v>
      </c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ht="15.75" customHeight="1" spans="1:26">
      <c r="A34" s="90" t="str">
        <f>IFERROR(__xludf.dummyfunction("""COMPUTED_VALUE"""),"19/03/2026 08:46:18")</f>
        <v>19/03/2026 08:46:18</v>
      </c>
      <c r="B34" s="90" t="str">
        <f>IFERROR(__xludf.dummyfunction("""COMPUTED_VALUE"""),"2")</f>
        <v>2</v>
      </c>
      <c r="C34" s="144" t="str">
        <f>IFERROR(__xludf.dummyfunction("""COMPUTED_VALUE"""),"MARIA FLOR DE LIMA")</f>
        <v>MARIA FLOR DE LIMA</v>
      </c>
      <c r="D34" s="90" t="str">
        <f>IFERROR(__xludf.dummyfunction("""COMPUTED_VALUE"""),"16/12/2024")</f>
        <v>16/12/2024</v>
      </c>
      <c r="E34" s="90" t="str">
        <f>IFERROR(__xludf.dummyfunction("""COMPUTED_VALUE"""),"004.995.534-97")</f>
        <v>004.995.534-97</v>
      </c>
      <c r="F34" s="90" t="str">
        <f>IFERROR(__xludf.dummyfunction("""COMPUTED_VALUE"""),"INFANTIL 1")</f>
        <v>INFANTIL 1</v>
      </c>
      <c r="G34" s="90" t="str">
        <f>IFERROR(__xludf.dummyfunction("""COMPUTED_VALUE"""),"CEMEI PROFª MARIA LUZIA RIO LIMA")</f>
        <v>CEMEI PROFª MARIA LUZIA RIO LIMA</v>
      </c>
      <c r="H34" s="90" t="str">
        <f>IFERROR(__xludf.dummyfunction("""COMPUTED_VALUE"""),"REGIONAL 5")</f>
        <v>REGIONAL 5</v>
      </c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ht="15.75" customHeight="1" spans="1:26">
      <c r="A35" s="90" t="str">
        <f>IFERROR(__xludf.dummyfunction("""COMPUTED_VALUE"""),"06/05/2026 15:38:45")</f>
        <v>06/05/2026 15:38:45</v>
      </c>
      <c r="B35" s="90" t="str">
        <f>IFERROR(__xludf.dummyfunction("""COMPUTED_VALUE"""),"3")</f>
        <v>3</v>
      </c>
      <c r="C35" s="144" t="str">
        <f>IFERROR(__xludf.dummyfunction("""COMPUTED_VALUE"""),"EMANUEL LUCAS FAUSTINO DA SILVA")</f>
        <v>EMANUEL LUCAS FAUSTINO DA SILVA</v>
      </c>
      <c r="D35" s="90" t="str">
        <f>IFERROR(__xludf.dummyfunction("""COMPUTED_VALUE"""),"05/09/2024")</f>
        <v>05/09/2024</v>
      </c>
      <c r="E35" s="90" t="str">
        <f>IFERROR(__xludf.dummyfunction("""COMPUTED_VALUE"""),"118.065.824-81")</f>
        <v>118.065.824-81</v>
      </c>
      <c r="F35" s="90" t="str">
        <f>IFERROR(__xludf.dummyfunction("""COMPUTED_VALUE"""),"INFANTIL 1")</f>
        <v>INFANTIL 1</v>
      </c>
      <c r="G35" s="90" t="str">
        <f>IFERROR(__xludf.dummyfunction("""COMPUTED_VALUE"""),"CEMEI PROFª MARIA LUZIA RIO LIMA")</f>
        <v>CEMEI PROFª MARIA LUZIA RIO LIMA</v>
      </c>
      <c r="H35" s="90" t="str">
        <f>IFERROR(__xludf.dummyfunction("""COMPUTED_VALUE"""),"REGIONAL 5")</f>
        <v>REGIONAL 5</v>
      </c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ht="15.75" customHeight="1" spans="1:26">
      <c r="A36" s="90" t="str">
        <f>IFERROR(__xludf.dummyfunction("""COMPUTED_VALUE"""),"10/06/2026 16:57:35")</f>
        <v>10/06/2026 16:57:35</v>
      </c>
      <c r="B36" s="90" t="str">
        <f>IFERROR(__xludf.dummyfunction("""COMPUTED_VALUE"""),"4")</f>
        <v>4</v>
      </c>
      <c r="C36" s="144" t="str">
        <f>IFERROR(__xludf.dummyfunction("""COMPUTED_VALUE"""),"Edgar Souza do monte")</f>
        <v>Edgar Souza do monte</v>
      </c>
      <c r="D36" s="90" t="str">
        <f>IFERROR(__xludf.dummyfunction("""COMPUTED_VALUE"""),"19/09/2024")</f>
        <v>19/09/2024</v>
      </c>
      <c r="E36" s="90" t="str">
        <f>IFERROR(__xludf.dummyfunction("""COMPUTED_VALUE"""),"004.150.004-08")</f>
        <v>004.150.004-08</v>
      </c>
      <c r="F36" s="90" t="str">
        <f>IFERROR(__xludf.dummyfunction("""COMPUTED_VALUE"""),"INFANTIL 1")</f>
        <v>INFANTIL 1</v>
      </c>
      <c r="G36" s="90" t="str">
        <f>IFERROR(__xludf.dummyfunction("""COMPUTED_VALUE"""),"CEMEI PROFª MARIA LUZIA RIO LIMA")</f>
        <v>CEMEI PROFª MARIA LUZIA RIO LIMA</v>
      </c>
      <c r="H36" s="90" t="str">
        <f>IFERROR(__xludf.dummyfunction("""COMPUTED_VALUE"""),"REGIONAL 5")</f>
        <v>REGIONAL 5</v>
      </c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ht="15.75" customHeight="1" spans="1:26">
      <c r="A37" s="90" t="str">
        <f>IFERROR(__xludf.dummyfunction("""COMPUTED_VALUE"""),"10/06/2026 17:01:25")</f>
        <v>10/06/2026 17:01:25</v>
      </c>
      <c r="B37" s="90" t="str">
        <f>IFERROR(__xludf.dummyfunction("""COMPUTED_VALUE"""),"5")</f>
        <v>5</v>
      </c>
      <c r="C37" s="144" t="str">
        <f>IFERROR(__xludf.dummyfunction("""COMPUTED_VALUE"""),"Dante Souza do Monte")</f>
        <v>Dante Souza do Monte</v>
      </c>
      <c r="D37" s="90" t="str">
        <f>IFERROR(__xludf.dummyfunction("""COMPUTED_VALUE"""),"19/09/2024")</f>
        <v>19/09/2024</v>
      </c>
      <c r="E37" s="90" t="str">
        <f>IFERROR(__xludf.dummyfunction("""COMPUTED_VALUE"""),"004.149.744-92")</f>
        <v>004.149.744-92</v>
      </c>
      <c r="F37" s="90" t="str">
        <f>IFERROR(__xludf.dummyfunction("""COMPUTED_VALUE"""),"INFANTIL 1")</f>
        <v>INFANTIL 1</v>
      </c>
      <c r="G37" s="90" t="str">
        <f>IFERROR(__xludf.dummyfunction("""COMPUTED_VALUE"""),"CEMEI PROFª MARIA LUZIA RIO LIMA")</f>
        <v>CEMEI PROFª MARIA LUZIA RIO LIMA</v>
      </c>
      <c r="H37" s="90" t="str">
        <f>IFERROR(__xludf.dummyfunction("""COMPUTED_VALUE"""),"REGIONAL 5")</f>
        <v>REGIONAL 5</v>
      </c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ht="15.75" customHeight="1" spans="1:26">
      <c r="A38" s="90" t="str">
        <f>IFERROR(__xludf.dummyfunction("""COMPUTED_VALUE"""),"04/02/2026 08:52:54")</f>
        <v>04/02/2026 08:52:54</v>
      </c>
      <c r="B38" s="90" t="str">
        <f>IFERROR(__xludf.dummyfunction("""COMPUTED_VALUE"""),"1")</f>
        <v>1</v>
      </c>
      <c r="C38" s="144" t="str">
        <f>IFERROR(__xludf.dummyfunction("""COMPUTED_VALUE"""),"RENAN JOSÉ DA SILVA")</f>
        <v>RENAN JOSÉ DA SILVA</v>
      </c>
      <c r="D38" s="90" t="str">
        <f>IFERROR(__xludf.dummyfunction("""COMPUTED_VALUE"""),"18/04/2024")</f>
        <v>18/04/2024</v>
      </c>
      <c r="E38" s="90" t="str">
        <f>IFERROR(__xludf.dummyfunction("""COMPUTED_VALUE"""),"003.612.264-54")</f>
        <v>003.612.264-54</v>
      </c>
      <c r="F38" s="90" t="str">
        <f>IFERROR(__xludf.dummyfunction("""COMPUTED_VALUE"""),"INFANTIL 1")</f>
        <v>INFANTIL 1</v>
      </c>
      <c r="G38" s="90" t="str">
        <f>IFERROR(__xludf.dummyfunction("""COMPUTED_VALUE"""),"CEMEI PROFESSORA CIBELE DE ANDRADE MENDES DE AZEVEDO")</f>
        <v>CEMEI PROFESSORA CIBELE DE ANDRADE MENDES DE AZEVEDO</v>
      </c>
      <c r="H38" s="90" t="str">
        <f>IFERROR(__xludf.dummyfunction("""COMPUTED_VALUE"""),"REGIONAL 7")</f>
        <v>REGIONAL 7</v>
      </c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 ht="15.75" customHeight="1" spans="1:26">
      <c r="A39" s="90" t="str">
        <f>IFERROR(__xludf.dummyfunction("""COMPUTED_VALUE"""),"05/02/2026 12:22:17")</f>
        <v>05/02/2026 12:22:17</v>
      </c>
      <c r="B39" s="90" t="str">
        <f>IFERROR(__xludf.dummyfunction("""COMPUTED_VALUE"""),"2")</f>
        <v>2</v>
      </c>
      <c r="C39" s="144" t="str">
        <f>IFERROR(__xludf.dummyfunction("""COMPUTED_VALUE"""),"ELLOÁH JASMIN NASCIMENTO DA SILVA")</f>
        <v>ELLOÁH JASMIN NASCIMENTO DA SILVA</v>
      </c>
      <c r="D39" s="90" t="str">
        <f>IFERROR(__xludf.dummyfunction("""COMPUTED_VALUE"""),"12/08/2024")</f>
        <v>12/08/2024</v>
      </c>
      <c r="E39" s="90" t="str">
        <f>IFERROR(__xludf.dummyfunction("""COMPUTED_VALUE"""),"003.964.064-75")</f>
        <v>003.964.064-75</v>
      </c>
      <c r="F39" s="90" t="str">
        <f>IFERROR(__xludf.dummyfunction("""COMPUTED_VALUE"""),"INFANTIL 1")</f>
        <v>INFANTIL 1</v>
      </c>
      <c r="G39" s="90" t="str">
        <f>IFERROR(__xludf.dummyfunction("""COMPUTED_VALUE"""),"CEMEI PROFESSORA CIBELE DE ANDRADE MENDES DE AZEVEDO")</f>
        <v>CEMEI PROFESSORA CIBELE DE ANDRADE MENDES DE AZEVEDO</v>
      </c>
      <c r="H39" s="90" t="str">
        <f>IFERROR(__xludf.dummyfunction("""COMPUTED_VALUE"""),"REGIONAL 7")</f>
        <v>REGIONAL 7</v>
      </c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 ht="15.75" customHeight="1" spans="1:26">
      <c r="A40" s="90" t="str">
        <f>IFERROR(__xludf.dummyfunction("""COMPUTED_VALUE"""),"05/02/2026 13:29:32")</f>
        <v>05/02/2026 13:29:32</v>
      </c>
      <c r="B40" s="90" t="str">
        <f>IFERROR(__xludf.dummyfunction("""COMPUTED_VALUE"""),"3")</f>
        <v>3</v>
      </c>
      <c r="C40" s="144" t="str">
        <f>IFERROR(__xludf.dummyfunction("""COMPUTED_VALUE"""),"OLIVER LICKS DE ALMEIDA")</f>
        <v>OLIVER LICKS DE ALMEIDA</v>
      </c>
      <c r="D40" s="90" t="str">
        <f>IFERROR(__xludf.dummyfunction("""COMPUTED_VALUE"""),"16/05/2024")</f>
        <v>16/05/2024</v>
      </c>
      <c r="E40" s="90" t="str">
        <f>IFERROR(__xludf.dummyfunction("""COMPUTED_VALUE"""),"002.966.174-90")</f>
        <v>002.966.174-90</v>
      </c>
      <c r="F40" s="90" t="str">
        <f>IFERROR(__xludf.dummyfunction("""COMPUTED_VALUE"""),"INFANTIL 1")</f>
        <v>INFANTIL 1</v>
      </c>
      <c r="G40" s="90" t="str">
        <f>IFERROR(__xludf.dummyfunction("""COMPUTED_VALUE"""),"CEMEI PROFESSORA CIBELE DE ANDRADE MENDES DE AZEVEDO")</f>
        <v>CEMEI PROFESSORA CIBELE DE ANDRADE MENDES DE AZEVEDO</v>
      </c>
      <c r="H40" s="90" t="str">
        <f>IFERROR(__xludf.dummyfunction("""COMPUTED_VALUE"""),"REGIONAL 7")</f>
        <v>REGIONAL 7</v>
      </c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 ht="15.75" customHeight="1" spans="1:26">
      <c r="A41" s="90" t="str">
        <f>IFERROR(__xludf.dummyfunction("""COMPUTED_VALUE"""),"05/02/2026 15:38:24")</f>
        <v>05/02/2026 15:38:24</v>
      </c>
      <c r="B41" s="90" t="str">
        <f>IFERROR(__xludf.dummyfunction("""COMPUTED_VALUE"""),"4")</f>
        <v>4</v>
      </c>
      <c r="C41" s="144" t="str">
        <f>IFERROR(__xludf.dummyfunction("""COMPUTED_VALUE"""),"THOMAS ENRICO RODRIGUES DE BARROS")</f>
        <v>THOMAS ENRICO RODRIGUES DE BARROS</v>
      </c>
      <c r="D41" s="90" t="str">
        <f>IFERROR(__xludf.dummyfunction("""COMPUTED_VALUE"""),"19/05/2024")</f>
        <v>19/05/2024</v>
      </c>
      <c r="E41" s="90" t="str">
        <f>IFERROR(__xludf.dummyfunction("""COMPUTED_VALUE"""),"003.082.134-75")</f>
        <v>003.082.134-75</v>
      </c>
      <c r="F41" s="90" t="str">
        <f>IFERROR(__xludf.dummyfunction("""COMPUTED_VALUE"""),"INFANTIL 1")</f>
        <v>INFANTIL 1</v>
      </c>
      <c r="G41" s="90" t="str">
        <f>IFERROR(__xludf.dummyfunction("""COMPUTED_VALUE"""),"CEMEI PROFESSORA CIBELE DE ANDRADE MENDES DE AZEVEDO")</f>
        <v>CEMEI PROFESSORA CIBELE DE ANDRADE MENDES DE AZEVEDO</v>
      </c>
      <c r="H41" s="90" t="str">
        <f>IFERROR(__xludf.dummyfunction("""COMPUTED_VALUE"""),"REGIONAL 7")</f>
        <v>REGIONAL 7</v>
      </c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 ht="15.75" customHeight="1" spans="1:26">
      <c r="A42" s="90" t="str">
        <f>IFERROR(__xludf.dummyfunction("""COMPUTED_VALUE"""),"05/02/2026 20:35:45")</f>
        <v>05/02/2026 20:35:45</v>
      </c>
      <c r="B42" s="90" t="str">
        <f>IFERROR(__xludf.dummyfunction("""COMPUTED_VALUE"""),"5")</f>
        <v>5</v>
      </c>
      <c r="C42" s="144" t="str">
        <f>IFERROR(__xludf.dummyfunction("""COMPUTED_VALUE"""),"YASMIM BEATRIZ DA SILVA ADRIÃO")</f>
        <v>YASMIM BEATRIZ DA SILVA ADRIÃO</v>
      </c>
      <c r="D42" s="90" t="str">
        <f>IFERROR(__xludf.dummyfunction("""COMPUTED_VALUE"""),"14/03/2025")</f>
        <v>14/03/2025</v>
      </c>
      <c r="E42" s="90" t="str">
        <f>IFERROR(__xludf.dummyfunction("""COMPUTED_VALUE"""),"005.732.894-33")</f>
        <v>005.732.894-33</v>
      </c>
      <c r="F42" s="90" t="str">
        <f>IFERROR(__xludf.dummyfunction("""COMPUTED_VALUE"""),"INFANTIL 1")</f>
        <v>INFANTIL 1</v>
      </c>
      <c r="G42" s="90" t="str">
        <f>IFERROR(__xludf.dummyfunction("""COMPUTED_VALUE"""),"CEMEI PROFESSORA CIBELE DE ANDRADE MENDES DE AZEVEDO")</f>
        <v>CEMEI PROFESSORA CIBELE DE ANDRADE MENDES DE AZEVEDO</v>
      </c>
      <c r="H42" s="90" t="str">
        <f>IFERROR(__xludf.dummyfunction("""COMPUTED_VALUE"""),"REGIONAL 7")</f>
        <v>REGIONAL 7</v>
      </c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 ht="15.75" customHeight="1" spans="1:26">
      <c r="A43" s="90" t="str">
        <f>IFERROR(__xludf.dummyfunction("""COMPUTED_VALUE"""),"23/02/2026 14:03:33")</f>
        <v>23/02/2026 14:03:33</v>
      </c>
      <c r="B43" s="90" t="str">
        <f>IFERROR(__xludf.dummyfunction("""COMPUTED_VALUE"""),"6")</f>
        <v>6</v>
      </c>
      <c r="C43" s="144" t="str">
        <f>IFERROR(__xludf.dummyfunction("""COMPUTED_VALUE"""),"EMANUELLY SOFIA DA SILVA")</f>
        <v>EMANUELLY SOFIA DA SILVA</v>
      </c>
      <c r="D43" s="90" t="str">
        <f>IFERROR(__xludf.dummyfunction("""COMPUTED_VALUE"""),"10/04/2024")</f>
        <v>10/04/2024</v>
      </c>
      <c r="E43" s="90" t="str">
        <f>IFERROR(__xludf.dummyfunction("""COMPUTED_VALUE"""),"002.714.984-63")</f>
        <v>002.714.984-63</v>
      </c>
      <c r="F43" s="90" t="str">
        <f>IFERROR(__xludf.dummyfunction("""COMPUTED_VALUE"""),"INFANTIL 1")</f>
        <v>INFANTIL 1</v>
      </c>
      <c r="G43" s="90" t="str">
        <f>IFERROR(__xludf.dummyfunction("""COMPUTED_VALUE"""),"CEMEI PROFESSORA CIBELE DE ANDRADE MENDES DE AZEVEDO")</f>
        <v>CEMEI PROFESSORA CIBELE DE ANDRADE MENDES DE AZEVEDO</v>
      </c>
      <c r="H43" s="90" t="str">
        <f>IFERROR(__xludf.dummyfunction("""COMPUTED_VALUE"""),"REGIONAL 7")</f>
        <v>REGIONAL 7</v>
      </c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 ht="15.75" customHeight="1" spans="1:26">
      <c r="A44" s="90" t="str">
        <f>IFERROR(__xludf.dummyfunction("""COMPUTED_VALUE"""),"16/03/2026 10:09:54")</f>
        <v>16/03/2026 10:09:54</v>
      </c>
      <c r="B44" s="90" t="str">
        <f>IFERROR(__xludf.dummyfunction("""COMPUTED_VALUE"""),"7")</f>
        <v>7</v>
      </c>
      <c r="C44" s="144" t="str">
        <f>IFERROR(__xludf.dummyfunction("""COMPUTED_VALUE"""),"HELENA MARIA CAVALCANTI MARTINS TORRES")</f>
        <v>HELENA MARIA CAVALCANTI MARTINS TORRES</v>
      </c>
      <c r="D44" s="90" t="str">
        <f>IFERROR(__xludf.dummyfunction("""COMPUTED_VALUE"""),"15/04/2024")</f>
        <v>15/04/2024</v>
      </c>
      <c r="E44" s="90" t="str">
        <f>IFERROR(__xludf.dummyfunction("""COMPUTED_VALUE"""),"002.611.704-57")</f>
        <v>002.611.704-57</v>
      </c>
      <c r="F44" s="90" t="str">
        <f>IFERROR(__xludf.dummyfunction("""COMPUTED_VALUE"""),"INFANTIL 1")</f>
        <v>INFANTIL 1</v>
      </c>
      <c r="G44" s="90" t="str">
        <f>IFERROR(__xludf.dummyfunction("""COMPUTED_VALUE"""),"CEMEI PROFESSORA CIBELE DE ANDRADE MENDES DE AZEVEDO")</f>
        <v>CEMEI PROFESSORA CIBELE DE ANDRADE MENDES DE AZEVEDO</v>
      </c>
      <c r="H44" s="90" t="str">
        <f>IFERROR(__xludf.dummyfunction("""COMPUTED_VALUE"""),"REGIONAL 7")</f>
        <v>REGIONAL 7</v>
      </c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ht="15.75" customHeight="1" spans="1:26">
      <c r="A45" s="90" t="str">
        <f>IFERROR(__xludf.dummyfunction("""COMPUTED_VALUE"""),"18/03/2026 12:28:10")</f>
        <v>18/03/2026 12:28:10</v>
      </c>
      <c r="B45" s="90" t="str">
        <f>IFERROR(__xludf.dummyfunction("""COMPUTED_VALUE"""),"8")</f>
        <v>8</v>
      </c>
      <c r="C45" s="144" t="str">
        <f>IFERROR(__xludf.dummyfunction("""COMPUTED_VALUE"""),"LAVI EMANUEL SIQUEIRA DA SILVA")</f>
        <v>LAVI EMANUEL SIQUEIRA DA SILVA</v>
      </c>
      <c r="D45" s="90" t="str">
        <f>IFERROR(__xludf.dummyfunction("""COMPUTED_VALUE"""),"19/01/2026")</f>
        <v>19/01/2026</v>
      </c>
      <c r="E45" s="90" t="str">
        <f>IFERROR(__xludf.dummyfunction("""COMPUTED_VALUE"""),"045.571.744-34")</f>
        <v>045.571.744-34</v>
      </c>
      <c r="F45" s="90" t="str">
        <f>IFERROR(__xludf.dummyfunction("""COMPUTED_VALUE"""),"INFANTIL 1")</f>
        <v>INFANTIL 1</v>
      </c>
      <c r="G45" s="90" t="str">
        <f>IFERROR(__xludf.dummyfunction("""COMPUTED_VALUE"""),"CEMEI PROFESSORA CIBELE DE ANDRADE MENDES DE AZEVEDO")</f>
        <v>CEMEI PROFESSORA CIBELE DE ANDRADE MENDES DE AZEVEDO</v>
      </c>
      <c r="H45" s="90" t="str">
        <f>IFERROR(__xludf.dummyfunction("""COMPUTED_VALUE"""),"REGIONAL 7")</f>
        <v>REGIONAL 7</v>
      </c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 ht="15.75" customHeight="1" spans="1:26">
      <c r="A46" s="90" t="str">
        <f>IFERROR(__xludf.dummyfunction("""COMPUTED_VALUE"""),"26/03/2026 18:22:32")</f>
        <v>26/03/2026 18:22:32</v>
      </c>
      <c r="B46" s="90" t="str">
        <f>IFERROR(__xludf.dummyfunction("""COMPUTED_VALUE"""),"9")</f>
        <v>9</v>
      </c>
      <c r="C46" s="144" t="str">
        <f>IFERROR(__xludf.dummyfunction("""COMPUTED_VALUE"""),"AYLA MANUELLE ALMEIDA DURVAL BRISSANTT")</f>
        <v>AYLA MANUELLE ALMEIDA DURVAL BRISSANTT</v>
      </c>
      <c r="D46" s="90" t="str">
        <f>IFERROR(__xludf.dummyfunction("""COMPUTED_VALUE"""),"20/11/2024")</f>
        <v>20/11/2024</v>
      </c>
      <c r="E46" s="90" t="str">
        <f>IFERROR(__xludf.dummyfunction("""COMPUTED_VALUE"""),"004.727.814-56")</f>
        <v>004.727.814-56</v>
      </c>
      <c r="F46" s="90" t="str">
        <f>IFERROR(__xludf.dummyfunction("""COMPUTED_VALUE"""),"INFANTIL 1")</f>
        <v>INFANTIL 1</v>
      </c>
      <c r="G46" s="90" t="str">
        <f>IFERROR(__xludf.dummyfunction("""COMPUTED_VALUE"""),"CEMEI PROFESSORA CIBELE DE ANDRADE MENDES DE AZEVEDO")</f>
        <v>CEMEI PROFESSORA CIBELE DE ANDRADE MENDES DE AZEVEDO</v>
      </c>
      <c r="H46" s="90" t="str">
        <f>IFERROR(__xludf.dummyfunction("""COMPUTED_VALUE"""),"REGIONAL 7")</f>
        <v>REGIONAL 7</v>
      </c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 ht="15.75" customHeight="1" spans="1:26">
      <c r="A47" s="90" t="str">
        <f>IFERROR(__xludf.dummyfunction("""COMPUTED_VALUE"""),"29/04/2026 15:44:18")</f>
        <v>29/04/2026 15:44:18</v>
      </c>
      <c r="B47" s="90" t="str">
        <f>IFERROR(__xludf.dummyfunction("""COMPUTED_VALUE"""),"10")</f>
        <v>10</v>
      </c>
      <c r="C47" s="144" t="str">
        <f>IFERROR(__xludf.dummyfunction("""COMPUTED_VALUE"""),"AYLA SOFIA CORREIA DE LIMA")</f>
        <v>AYLA SOFIA CORREIA DE LIMA</v>
      </c>
      <c r="D47" s="90" t="str">
        <f>IFERROR(__xludf.dummyfunction("""COMPUTED_VALUE"""),"06/05/2025")</f>
        <v>06/05/2025</v>
      </c>
      <c r="E47" s="90" t="str">
        <f>IFERROR(__xludf.dummyfunction("""COMPUTED_VALUE"""),"006.122.294-16")</f>
        <v>006.122.294-16</v>
      </c>
      <c r="F47" s="90" t="str">
        <f>IFERROR(__xludf.dummyfunction("""COMPUTED_VALUE"""),"INFANTIL 1")</f>
        <v>INFANTIL 1</v>
      </c>
      <c r="G47" s="90" t="str">
        <f>IFERROR(__xludf.dummyfunction("""COMPUTED_VALUE"""),"CEMEI PROFESSORA CIBELE DE ANDRADE MENDES DE AZEVEDO")</f>
        <v>CEMEI PROFESSORA CIBELE DE ANDRADE MENDES DE AZEVEDO</v>
      </c>
      <c r="H47" s="90" t="str">
        <f>IFERROR(__xludf.dummyfunction("""COMPUTED_VALUE"""),"REGIONAL 7")</f>
        <v>REGIONAL 7</v>
      </c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 ht="15.75" customHeight="1" spans="1:26">
      <c r="A48" s="90" t="str">
        <f>IFERROR(__xludf.dummyfunction("""COMPUTED_VALUE"""),"19/05/2026 10:34:49")</f>
        <v>19/05/2026 10:34:49</v>
      </c>
      <c r="B48" s="90" t="str">
        <f>IFERROR(__xludf.dummyfunction("""COMPUTED_VALUE"""),"11")</f>
        <v>11</v>
      </c>
      <c r="C48" s="144" t="str">
        <f>IFERROR(__xludf.dummyfunction("""COMPUTED_VALUE"""),"HARIEL CRUZ CAMPOS")</f>
        <v>HARIEL CRUZ CAMPOS</v>
      </c>
      <c r="D48" s="90" t="str">
        <f>IFERROR(__xludf.dummyfunction("""COMPUTED_VALUE"""),"25/10/2025")</f>
        <v>25/10/2025</v>
      </c>
      <c r="E48" s="90" t="str">
        <f>IFERROR(__xludf.dummyfunction("""COMPUTED_VALUE"""),"017.444.294-72")</f>
        <v>017.444.294-72</v>
      </c>
      <c r="F48" s="90" t="str">
        <f>IFERROR(__xludf.dummyfunction("""COMPUTED_VALUE"""),"INFANTIL 1")</f>
        <v>INFANTIL 1</v>
      </c>
      <c r="G48" s="90" t="str">
        <f>IFERROR(__xludf.dummyfunction("""COMPUTED_VALUE"""),"CEMEI PROFESSORA CIBELE DE ANDRADE MENDES DE AZEVEDO")</f>
        <v>CEMEI PROFESSORA CIBELE DE ANDRADE MENDES DE AZEVEDO</v>
      </c>
      <c r="H48" s="90" t="str">
        <f>IFERROR(__xludf.dummyfunction("""COMPUTED_VALUE"""),"REGIONAL 7")</f>
        <v>REGIONAL 7</v>
      </c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 ht="15.75" customHeight="1" spans="1:26">
      <c r="A49" s="90" t="str">
        <f>IFERROR(__xludf.dummyfunction("""COMPUTED_VALUE"""),"25/05/2026 18:01:52")</f>
        <v>25/05/2026 18:01:52</v>
      </c>
      <c r="B49" s="90" t="str">
        <f>IFERROR(__xludf.dummyfunction("""COMPUTED_VALUE"""),"12")</f>
        <v>12</v>
      </c>
      <c r="C49" s="144" t="str">
        <f>IFERROR(__xludf.dummyfunction("""COMPUTED_VALUE"""),"Naomi Uehara Alves da Silva")</f>
        <v>Naomi Uehara Alves da Silva</v>
      </c>
      <c r="D49" s="90" t="str">
        <f>IFERROR(__xludf.dummyfunction("""COMPUTED_VALUE"""),"15/04/2025")</f>
        <v>15/04/2025</v>
      </c>
      <c r="E49" s="90" t="str">
        <f>IFERROR(__xludf.dummyfunction("""COMPUTED_VALUE"""),"005.944.274-36")</f>
        <v>005.944.274-36</v>
      </c>
      <c r="F49" s="90" t="str">
        <f>IFERROR(__xludf.dummyfunction("""COMPUTED_VALUE"""),"INFANTIL 1")</f>
        <v>INFANTIL 1</v>
      </c>
      <c r="G49" s="90" t="str">
        <f>IFERROR(__xludf.dummyfunction("""COMPUTED_VALUE"""),"CEMEI PROFESSORA CIBELE DE ANDRADE MENDES DE AZEVEDO")</f>
        <v>CEMEI PROFESSORA CIBELE DE ANDRADE MENDES DE AZEVEDO</v>
      </c>
      <c r="H49" s="90" t="str">
        <f>IFERROR(__xludf.dummyfunction("""COMPUTED_VALUE"""),"REGIONAL 7")</f>
        <v>REGIONAL 7</v>
      </c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 ht="15.75" customHeight="1" spans="1:26">
      <c r="A50" s="90" t="str">
        <f>IFERROR(__xludf.dummyfunction("""COMPUTED_VALUE"""),"10/07/2026 10:10:23")</f>
        <v>10/07/2026 10:10:23</v>
      </c>
      <c r="B50" s="90" t="str">
        <f>IFERROR(__xludf.dummyfunction("""COMPUTED_VALUE"""),"13")</f>
        <v>13</v>
      </c>
      <c r="C50" s="144" t="str">
        <f>IFERROR(__xludf.dummyfunction("""COMPUTED_VALUE"""),"Cecília rafaelle de santana Ferreira")</f>
        <v>Cecília rafaelle de santana Ferreira</v>
      </c>
      <c r="D50" s="90" t="str">
        <f>IFERROR(__xludf.dummyfunction("""COMPUTED_VALUE"""),"31/08/2024")</f>
        <v>31/08/2024</v>
      </c>
      <c r="E50" s="90" t="str">
        <f>IFERROR(__xludf.dummyfunction("""COMPUTED_VALUE"""),"004.210.464-57")</f>
        <v>004.210.464-57</v>
      </c>
      <c r="F50" s="90" t="str">
        <f>IFERROR(__xludf.dummyfunction("""COMPUTED_VALUE"""),"INFANTIL 1")</f>
        <v>INFANTIL 1</v>
      </c>
      <c r="G50" s="90" t="str">
        <f>IFERROR(__xludf.dummyfunction("""COMPUTED_VALUE"""),"CEMEI PROFESSORA CIBELE DE ANDRADE MENDES DE AZEVEDO")</f>
        <v>CEMEI PROFESSORA CIBELE DE ANDRADE MENDES DE AZEVEDO</v>
      </c>
      <c r="H50" s="90" t="str">
        <f>IFERROR(__xludf.dummyfunction("""COMPUTED_VALUE"""),"REGIONAL 7")</f>
        <v>REGIONAL 7</v>
      </c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ht="15.75" customHeight="1" spans="1:26">
      <c r="A51" s="90" t="str">
        <f>IFERROR(__xludf.dummyfunction("""COMPUTED_VALUE"""),"07/08/2026 09:49:30")</f>
        <v>07/08/2026 09:49:30</v>
      </c>
      <c r="B51" s="90" t="str">
        <f>IFERROR(__xludf.dummyfunction("""COMPUTED_VALUE"""),"14")</f>
        <v>14</v>
      </c>
      <c r="C51" s="144" t="str">
        <f>IFERROR(__xludf.dummyfunction("""COMPUTED_VALUE"""),"Pedro Mikael vieira da Silva")</f>
        <v>Pedro Mikael vieira da Silva</v>
      </c>
      <c r="D51" s="90" t="str">
        <f>IFERROR(__xludf.dummyfunction("""COMPUTED_VALUE"""),"28/11/2024")</f>
        <v>28/11/2024</v>
      </c>
      <c r="E51" s="90" t="str">
        <f>IFERROR(__xludf.dummyfunction("""COMPUTED_VALUE"""),"004.703.434-35")</f>
        <v>004.703.434-35</v>
      </c>
      <c r="F51" s="90" t="str">
        <f>IFERROR(__xludf.dummyfunction("""COMPUTED_VALUE"""),"INFANTIL 1")</f>
        <v>INFANTIL 1</v>
      </c>
      <c r="G51" s="90" t="str">
        <f>IFERROR(__xludf.dummyfunction("""COMPUTED_VALUE"""),"CEMEI PROFESSORA CIBELE DE ANDRADE MENDES DE AZEVEDO")</f>
        <v>CEMEI PROFESSORA CIBELE DE ANDRADE MENDES DE AZEVEDO</v>
      </c>
      <c r="H51" s="90" t="str">
        <f>IFERROR(__xludf.dummyfunction("""COMPUTED_VALUE"""),"REGIONAL 7")</f>
        <v>REGIONAL 7</v>
      </c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ht="15.75" customHeight="1" spans="1:26">
      <c r="A52" s="90" t="str">
        <f>IFERROR(__xludf.dummyfunction("""COMPUTED_VALUE"""),"13/08/2026 11:11:04")</f>
        <v>13/08/2026 11:11:04</v>
      </c>
      <c r="B52" s="90" t="str">
        <f>IFERROR(__xludf.dummyfunction("""COMPUTED_VALUE"""),"15")</f>
        <v>15</v>
      </c>
      <c r="C52" s="144" t="str">
        <f>IFERROR(__xludf.dummyfunction("""COMPUTED_VALUE"""),"ANDRÉ LUIZ DE MELO SILVA")</f>
        <v>ANDRÉ LUIZ DE MELO SILVA</v>
      </c>
      <c r="D52" s="90" t="str">
        <f>IFERROR(__xludf.dummyfunction("""COMPUTED_VALUE"""),"08/12/2025")</f>
        <v>08/12/2025</v>
      </c>
      <c r="E52" s="90" t="str">
        <f>IFERROR(__xludf.dummyfunction("""COMPUTED_VALUE"""),"033.619.694-68")</f>
        <v>033.619.694-68</v>
      </c>
      <c r="F52" s="90" t="str">
        <f>IFERROR(__xludf.dummyfunction("""COMPUTED_VALUE"""),"INFANTIL 1")</f>
        <v>INFANTIL 1</v>
      </c>
      <c r="G52" s="90" t="str">
        <f>IFERROR(__xludf.dummyfunction("""COMPUTED_VALUE"""),"CEMEI PROFESSORA CIBELE DE ANDRADE MENDES DE AZEVEDO")</f>
        <v>CEMEI PROFESSORA CIBELE DE ANDRADE MENDES DE AZEVEDO</v>
      </c>
      <c r="H52" s="90" t="str">
        <f>IFERROR(__xludf.dummyfunction("""COMPUTED_VALUE"""),"REGIONAL 7")</f>
        <v>REGIONAL 7</v>
      </c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ht="15.75" customHeight="1" spans="1:26">
      <c r="A53" s="90" t="str">
        <f>IFERROR(__xludf.dummyfunction("""COMPUTED_VALUE"""),"25/05/2026 18:09:35")</f>
        <v>25/05/2026 18:09:35</v>
      </c>
      <c r="B53" s="90" t="str">
        <f>IFERROR(__xludf.dummyfunction("""COMPUTED_VALUE"""),"1")</f>
        <v>1</v>
      </c>
      <c r="C53" s="144" t="str">
        <f>IFERROR(__xludf.dummyfunction("""COMPUTED_VALUE"""),"Anthony Gabriel Alves Teixeira da silva")</f>
        <v>Anthony Gabriel Alves Teixeira da silva</v>
      </c>
      <c r="D53" s="90" t="str">
        <f>IFERROR(__xludf.dummyfunction("""COMPUTED_VALUE"""),"29/02/2024")</f>
        <v>29/02/2024</v>
      </c>
      <c r="E53" s="90" t="str">
        <f>IFERROR(__xludf.dummyfunction("""COMPUTED_VALUE"""),"002.138.204-20")</f>
        <v>002.138.204-20</v>
      </c>
      <c r="F53" s="90" t="str">
        <f>IFERROR(__xludf.dummyfunction("""COMPUTED_VALUE"""),"INFANTIL 2")</f>
        <v>INFANTIL 2</v>
      </c>
      <c r="G53" s="90" t="str">
        <f>IFERROR(__xludf.dummyfunction("""COMPUTED_VALUE"""),"CEMEI PROFESSORA CIBELE DE ANDRADE MENDES DE AZEVEDO")</f>
        <v>CEMEI PROFESSORA CIBELE DE ANDRADE MENDES DE AZEVEDO</v>
      </c>
      <c r="H53" s="90" t="str">
        <f>IFERROR(__xludf.dummyfunction("""COMPUTED_VALUE"""),"REGIONAL 7")</f>
        <v>REGIONAL 7</v>
      </c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ht="15.75" customHeight="1" spans="1:26">
      <c r="A54" s="90" t="str">
        <f>IFERROR(__xludf.dummyfunction("""COMPUTED_VALUE"""),"15/07/2026 09:23:39")</f>
        <v>15/07/2026 09:23:39</v>
      </c>
      <c r="B54" s="90" t="str">
        <f>IFERROR(__xludf.dummyfunction("""COMPUTED_VALUE"""),"2")</f>
        <v>2</v>
      </c>
      <c r="C54" s="144" t="str">
        <f>IFERROR(__xludf.dummyfunction("""COMPUTED_VALUE"""),"Kaue Leandro da Silva")</f>
        <v>Kaue Leandro da Silva</v>
      </c>
      <c r="D54" s="90" t="str">
        <f>IFERROR(__xludf.dummyfunction("""COMPUTED_VALUE"""),"18/09/2023")</f>
        <v>18/09/2023</v>
      </c>
      <c r="E54" s="90" t="str">
        <f>IFERROR(__xludf.dummyfunction("""COMPUTED_VALUE"""),"186.590.934-37")</f>
        <v>186.590.934-37</v>
      </c>
      <c r="F54" s="90" t="str">
        <f>IFERROR(__xludf.dummyfunction("""COMPUTED_VALUE"""),"INFANTIL 2")</f>
        <v>INFANTIL 2</v>
      </c>
      <c r="G54" s="90" t="str">
        <f>IFERROR(__xludf.dummyfunction("""COMPUTED_VALUE"""),"CEMEI PROFESSORA CIBELE DE ANDRADE MENDES DE AZEVEDO")</f>
        <v>CEMEI PROFESSORA CIBELE DE ANDRADE MENDES DE AZEVEDO</v>
      </c>
      <c r="H54" s="90" t="str">
        <f>IFERROR(__xludf.dummyfunction("""COMPUTED_VALUE"""),"REGIONAL 7")</f>
        <v>REGIONAL 7</v>
      </c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ht="15.75" customHeight="1" spans="1:26">
      <c r="A55" s="90" t="str">
        <f>IFERROR(__xludf.dummyfunction("""COMPUTED_VALUE"""),"15/07/2026 09:23:44")</f>
        <v>15/07/2026 09:23:44</v>
      </c>
      <c r="B55" s="90" t="str">
        <f>IFERROR(__xludf.dummyfunction("""COMPUTED_VALUE"""),"3")</f>
        <v>3</v>
      </c>
      <c r="C55" s="144" t="str">
        <f>IFERROR(__xludf.dummyfunction("""COMPUTED_VALUE"""),"Miguel rhavi de Amorim")</f>
        <v>Miguel rhavi de Amorim</v>
      </c>
      <c r="D55" s="90" t="str">
        <f>IFERROR(__xludf.dummyfunction("""COMPUTED_VALUE"""),"19/09/2023")</f>
        <v>19/09/2023</v>
      </c>
      <c r="E55" s="90" t="str">
        <f>IFERROR(__xludf.dummyfunction("""COMPUTED_VALUE"""),"001.025.094-84")</f>
        <v>001.025.094-84</v>
      </c>
      <c r="F55" s="90" t="str">
        <f>IFERROR(__xludf.dummyfunction("""COMPUTED_VALUE"""),"INFANTIL 2")</f>
        <v>INFANTIL 2</v>
      </c>
      <c r="G55" s="90" t="str">
        <f>IFERROR(__xludf.dummyfunction("""COMPUTED_VALUE"""),"CEMEI PROFESSORA CIBELE DE ANDRADE MENDES DE AZEVEDO")</f>
        <v>CEMEI PROFESSORA CIBELE DE ANDRADE MENDES DE AZEVEDO</v>
      </c>
      <c r="H55" s="90" t="str">
        <f>IFERROR(__xludf.dummyfunction("""COMPUTED_VALUE"""),"REGIONAL 7")</f>
        <v>REGIONAL 7</v>
      </c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ht="15.75" customHeight="1" spans="1:26">
      <c r="A56" s="90" t="str">
        <f>IFERROR(__xludf.dummyfunction("""COMPUTED_VALUE"""),"10/08/2026 08:46:38")</f>
        <v>10/08/2026 08:46:38</v>
      </c>
      <c r="B56" s="90" t="str">
        <f>IFERROR(__xludf.dummyfunction("""COMPUTED_VALUE"""),"4")</f>
        <v>4</v>
      </c>
      <c r="C56" s="144" t="str">
        <f>IFERROR(__xludf.dummyfunction("""COMPUTED_VALUE"""),"Maria Isadora França Gomes")</f>
        <v>Maria Isadora França Gomes</v>
      </c>
      <c r="D56" s="90" t="str">
        <f>IFERROR(__xludf.dummyfunction("""COMPUTED_VALUE"""),"07/08/2023")</f>
        <v>07/08/2023</v>
      </c>
      <c r="E56" s="90" t="str">
        <f>IFERROR(__xludf.dummyfunction("""COMPUTED_VALUE"""),"186.202.454-57")</f>
        <v>186.202.454-57</v>
      </c>
      <c r="F56" s="90" t="str">
        <f>IFERROR(__xludf.dummyfunction("""COMPUTED_VALUE"""),"INFANTIL 2")</f>
        <v>INFANTIL 2</v>
      </c>
      <c r="G56" s="90" t="str">
        <f>IFERROR(__xludf.dummyfunction("""COMPUTED_VALUE"""),"CEMEI PROFESSORA CIBELE DE ANDRADE MENDES DE AZEVEDO")</f>
        <v>CEMEI PROFESSORA CIBELE DE ANDRADE MENDES DE AZEVEDO</v>
      </c>
      <c r="H56" s="90" t="str">
        <f>IFERROR(__xludf.dummyfunction("""COMPUTED_VALUE"""),"REGIONAL 7")</f>
        <v>REGIONAL 7</v>
      </c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ht="15.75" customHeight="1" spans="1:26">
      <c r="A57" s="90" t="str">
        <f>IFERROR(__xludf.dummyfunction("""COMPUTED_VALUE"""),"09/03/2026 13:36:35")</f>
        <v>09/03/2026 13:36:35</v>
      </c>
      <c r="B57" s="90" t="str">
        <f>IFERROR(__xludf.dummyfunction("""COMPUTED_VALUE"""),"1")</f>
        <v>1</v>
      </c>
      <c r="C57" s="144" t="str">
        <f>IFERROR(__xludf.dummyfunction("""COMPUTED_VALUE"""),"BRAYAN MENDES")</f>
        <v>BRAYAN MENDES</v>
      </c>
      <c r="D57" s="90" t="str">
        <f>IFERROR(__xludf.dummyfunction("""COMPUTED_VALUE"""),"07/02/2023")</f>
        <v>07/02/2023</v>
      </c>
      <c r="E57" s="90" t="str">
        <f>IFERROR(__xludf.dummyfunction("""COMPUTED_VALUE"""),"006.823.174-11")</f>
        <v>006.823.174-11</v>
      </c>
      <c r="F57" s="90" t="str">
        <f>IFERROR(__xludf.dummyfunction("""COMPUTED_VALUE"""),"INFANTIL 3")</f>
        <v>INFANTIL 3</v>
      </c>
      <c r="G57" s="90" t="str">
        <f>IFERROR(__xludf.dummyfunction("""COMPUTED_VALUE"""),"CEMEI PROFESSORA CIBELE DE ANDRADE MENDES DE AZEVEDO")</f>
        <v>CEMEI PROFESSORA CIBELE DE ANDRADE MENDES DE AZEVEDO</v>
      </c>
      <c r="H57" s="90" t="str">
        <f>IFERROR(__xludf.dummyfunction("""COMPUTED_VALUE"""),"REGIONAL 7")</f>
        <v>REGIONAL 7</v>
      </c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ht="15.75" customHeight="1" spans="1:26">
      <c r="A58" s="90" t="str">
        <f>IFERROR(__xludf.dummyfunction("""COMPUTED_VALUE"""),"23/04/2026 10:57:36")</f>
        <v>23/04/2026 10:57:36</v>
      </c>
      <c r="B58" s="90" t="str">
        <f>IFERROR(__xludf.dummyfunction("""COMPUTED_VALUE"""),"2")</f>
        <v>2</v>
      </c>
      <c r="C58" s="144" t="str">
        <f>IFERROR(__xludf.dummyfunction("""COMPUTED_VALUE"""),"AYLLA VALENTINA SOUZA DOS SANTOS")</f>
        <v>AYLLA VALENTINA SOUZA DOS SANTOS</v>
      </c>
      <c r="D58" s="90" t="str">
        <f>IFERROR(__xludf.dummyfunction("""COMPUTED_VALUE"""),"18/11/2022")</f>
        <v>18/11/2022</v>
      </c>
      <c r="E58" s="90" t="str">
        <f>IFERROR(__xludf.dummyfunction("""COMPUTED_VALUE"""),"183.494.434-13")</f>
        <v>183.494.434-13</v>
      </c>
      <c r="F58" s="90" t="str">
        <f>IFERROR(__xludf.dummyfunction("""COMPUTED_VALUE"""),"INFANTIL 3")</f>
        <v>INFANTIL 3</v>
      </c>
      <c r="G58" s="90" t="str">
        <f>IFERROR(__xludf.dummyfunction("""COMPUTED_VALUE"""),"CEMEI PROFESSORA CIBELE DE ANDRADE MENDES DE AZEVEDO")</f>
        <v>CEMEI PROFESSORA CIBELE DE ANDRADE MENDES DE AZEVEDO</v>
      </c>
      <c r="H58" s="90" t="str">
        <f>IFERROR(__xludf.dummyfunction("""COMPUTED_VALUE"""),"REGIONAL 7")</f>
        <v>REGIONAL 7</v>
      </c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ht="15.75" customHeight="1" spans="1:26">
      <c r="A59" s="90" t="str">
        <f>IFERROR(__xludf.dummyfunction("""COMPUTED_VALUE"""),"13/05/2026 10:59:27")</f>
        <v>13/05/2026 10:59:27</v>
      </c>
      <c r="B59" s="90" t="str">
        <f>IFERROR(__xludf.dummyfunction("""COMPUTED_VALUE"""),"3")</f>
        <v>3</v>
      </c>
      <c r="C59" s="144" t="str">
        <f>IFERROR(__xludf.dummyfunction("""COMPUTED_VALUE"""),"REBECA LUANA DA SILVA MILANEZ")</f>
        <v>REBECA LUANA DA SILVA MILANEZ</v>
      </c>
      <c r="D59" s="90" t="str">
        <f>IFERROR(__xludf.dummyfunction("""COMPUTED_VALUE"""),"21/09/2022")</f>
        <v>21/09/2022</v>
      </c>
      <c r="E59" s="90" t="str">
        <f>IFERROR(__xludf.dummyfunction("""COMPUTED_VALUE"""),"182.950.714-16")</f>
        <v>182.950.714-16</v>
      </c>
      <c r="F59" s="90" t="str">
        <f>IFERROR(__xludf.dummyfunction("""COMPUTED_VALUE"""),"INFANTIL 3")</f>
        <v>INFANTIL 3</v>
      </c>
      <c r="G59" s="90" t="str">
        <f>IFERROR(__xludf.dummyfunction("""COMPUTED_VALUE"""),"CEMEI PROFESSORA CIBELE DE ANDRADE MENDES DE AZEVEDO")</f>
        <v>CEMEI PROFESSORA CIBELE DE ANDRADE MENDES DE AZEVEDO</v>
      </c>
      <c r="H59" s="90" t="str">
        <f>IFERROR(__xludf.dummyfunction("""COMPUTED_VALUE"""),"REGIONAL 7")</f>
        <v>REGIONAL 7</v>
      </c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ht="15.75" customHeight="1" spans="1:26">
      <c r="A60" s="90" t="str">
        <f>IFERROR(__xludf.dummyfunction("""COMPUTED_VALUE"""),"28/01/2026 08:08:37")</f>
        <v>28/01/2026 08:08:37</v>
      </c>
      <c r="B60" s="90" t="str">
        <f>IFERROR(__xludf.dummyfunction("""COMPUTED_VALUE"""),"1")</f>
        <v>1</v>
      </c>
      <c r="C60" s="144" t="str">
        <f>IFERROR(__xludf.dummyfunction("""COMPUTED_VALUE"""),"BRYAN ARTHUR COSTA SILVA")</f>
        <v>BRYAN ARTHUR COSTA SILVA</v>
      </c>
      <c r="D60" s="90" t="str">
        <f>IFERROR(__xludf.dummyfunction("""COMPUTED_VALUE"""),"13/09/2024")</f>
        <v>13/09/2024</v>
      </c>
      <c r="E60" s="90" t="str">
        <f>IFERROR(__xludf.dummyfunction("""COMPUTED_VALUE"""),"004.069.734-74")</f>
        <v>004.069.734-74</v>
      </c>
      <c r="F60" s="90" t="str">
        <f>IFERROR(__xludf.dummyfunction("""COMPUTED_VALUE"""),"INFANTIL 1")</f>
        <v>INFANTIL 1</v>
      </c>
      <c r="G60" s="90" t="str">
        <f>IFERROR(__xludf.dummyfunction("""COMPUTED_VALUE"""),"CEMEI PROFESSORA LINDOMAR DOMINGOS DA SILVA ANJOS")</f>
        <v>CEMEI PROFESSORA LINDOMAR DOMINGOS DA SILVA ANJOS</v>
      </c>
      <c r="H60" s="90" t="str">
        <f>IFERROR(__xludf.dummyfunction("""COMPUTED_VALUE"""),"REGIONAL 5")</f>
        <v>REGIONAL 5</v>
      </c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ht="15.75" customHeight="1" spans="1:26">
      <c r="A61" s="90" t="str">
        <f>IFERROR(__xludf.dummyfunction("""COMPUTED_VALUE"""),"28/01/2026 08:11:25")</f>
        <v>28/01/2026 08:11:25</v>
      </c>
      <c r="B61" s="90" t="str">
        <f>IFERROR(__xludf.dummyfunction("""COMPUTED_VALUE"""),"2")</f>
        <v>2</v>
      </c>
      <c r="C61" s="144" t="str">
        <f>IFERROR(__xludf.dummyfunction("""COMPUTED_VALUE"""),"ANNA LIZ COSTA DA SILVA MOURA")</f>
        <v>ANNA LIZ COSTA DA SILVA MOURA</v>
      </c>
      <c r="D61" s="90" t="str">
        <f>IFERROR(__xludf.dummyfunction("""COMPUTED_VALUE"""),"20/04/2024")</f>
        <v>20/04/2024</v>
      </c>
      <c r="E61" s="90" t="str">
        <f>IFERROR(__xludf.dummyfunction("""COMPUTED_VALUE"""),"170.372.894-77")</f>
        <v>170.372.894-77</v>
      </c>
      <c r="F61" s="90" t="str">
        <f>IFERROR(__xludf.dummyfunction("""COMPUTED_VALUE"""),"INFANTIL 1")</f>
        <v>INFANTIL 1</v>
      </c>
      <c r="G61" s="90" t="str">
        <f>IFERROR(__xludf.dummyfunction("""COMPUTED_VALUE"""),"CEMEI PROFESSORA LINDOMAR DOMINGOS DA SILVA ANJOS")</f>
        <v>CEMEI PROFESSORA LINDOMAR DOMINGOS DA SILVA ANJOS</v>
      </c>
      <c r="H61" s="90" t="str">
        <f>IFERROR(__xludf.dummyfunction("""COMPUTED_VALUE"""),"REGIONAL 5")</f>
        <v>REGIONAL 5</v>
      </c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ht="15.75" customHeight="1" spans="1:26">
      <c r="A62" s="90" t="str">
        <f>IFERROR(__xludf.dummyfunction("""COMPUTED_VALUE"""),"28/01/2026 08:13:45")</f>
        <v>28/01/2026 08:13:45</v>
      </c>
      <c r="B62" s="90" t="str">
        <f>IFERROR(__xludf.dummyfunction("""COMPUTED_VALUE"""),"3")</f>
        <v>3</v>
      </c>
      <c r="C62" s="144" t="str">
        <f>IFERROR(__xludf.dummyfunction("""COMPUTED_VALUE"""),"GEYSON LUCAS CABRAL DA SILVA")</f>
        <v>GEYSON LUCAS CABRAL DA SILVA</v>
      </c>
      <c r="D62" s="90" t="str">
        <f>IFERROR(__xludf.dummyfunction("""COMPUTED_VALUE"""),"18/07/2024")</f>
        <v>18/07/2024</v>
      </c>
      <c r="E62" s="90" t="str">
        <f>IFERROR(__xludf.dummyfunction("""COMPUTED_VALUE"""),"003.545.084-31")</f>
        <v>003.545.084-31</v>
      </c>
      <c r="F62" s="90" t="str">
        <f>IFERROR(__xludf.dummyfunction("""COMPUTED_VALUE"""),"INFANTIL 1")</f>
        <v>INFANTIL 1</v>
      </c>
      <c r="G62" s="90" t="str">
        <f>IFERROR(__xludf.dummyfunction("""COMPUTED_VALUE"""),"CEMEI PROFESSORA LINDOMAR DOMINGOS DA SILVA ANJOS")</f>
        <v>CEMEI PROFESSORA LINDOMAR DOMINGOS DA SILVA ANJOS</v>
      </c>
      <c r="H62" s="90" t="str">
        <f>IFERROR(__xludf.dummyfunction("""COMPUTED_VALUE"""),"REGIONAL 5")</f>
        <v>REGIONAL 5</v>
      </c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ht="15.75" customHeight="1" spans="1:26">
      <c r="A63" s="90" t="str">
        <f>IFERROR(__xludf.dummyfunction("""COMPUTED_VALUE"""),"28/01/2026 08:25:22")</f>
        <v>28/01/2026 08:25:22</v>
      </c>
      <c r="B63" s="90" t="str">
        <f>IFERROR(__xludf.dummyfunction("""COMPUTED_VALUE"""),"4")</f>
        <v>4</v>
      </c>
      <c r="C63" s="144" t="str">
        <f>IFERROR(__xludf.dummyfunction("""COMPUTED_VALUE"""),"HELENA MAITÊ BARRETO DA SILVA")</f>
        <v>HELENA MAITÊ BARRETO DA SILVA</v>
      </c>
      <c r="D63" s="90" t="str">
        <f>IFERROR(__xludf.dummyfunction("""COMPUTED_VALUE"""),"02/11/2024")</f>
        <v>02/11/2024</v>
      </c>
      <c r="E63" s="90" t="str">
        <f>IFERROR(__xludf.dummyfunction("""COMPUTED_VALUE"""),"004.709.854-61")</f>
        <v>004.709.854-61</v>
      </c>
      <c r="F63" s="90" t="str">
        <f>IFERROR(__xludf.dummyfunction("""COMPUTED_VALUE"""),"INFANTIL 1")</f>
        <v>INFANTIL 1</v>
      </c>
      <c r="G63" s="90" t="str">
        <f>IFERROR(__xludf.dummyfunction("""COMPUTED_VALUE"""),"CEMEI PROFESSORA LINDOMAR DOMINGOS DA SILVA ANJOS")</f>
        <v>CEMEI PROFESSORA LINDOMAR DOMINGOS DA SILVA ANJOS</v>
      </c>
      <c r="H63" s="90" t="str">
        <f>IFERROR(__xludf.dummyfunction("""COMPUTED_VALUE"""),"REGIONAL 5")</f>
        <v>REGIONAL 5</v>
      </c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ht="15.75" customHeight="1" spans="1:26">
      <c r="A64" s="90" t="str">
        <f>IFERROR(__xludf.dummyfunction("""COMPUTED_VALUE"""),"28/01/2026 09:18:21")</f>
        <v>28/01/2026 09:18:21</v>
      </c>
      <c r="B64" s="90" t="str">
        <f>IFERROR(__xludf.dummyfunction("""COMPUTED_VALUE"""),"5")</f>
        <v>5</v>
      </c>
      <c r="C64" s="144" t="str">
        <f>IFERROR(__xludf.dummyfunction("""COMPUTED_VALUE"""),"HELOISA FERREIRA MIRANDA DA SILVA")</f>
        <v>HELOISA FERREIRA MIRANDA DA SILVA</v>
      </c>
      <c r="D64" s="90" t="str">
        <f>IFERROR(__xludf.dummyfunction("""COMPUTED_VALUE"""),"15/01/2025")</f>
        <v>15/01/2025</v>
      </c>
      <c r="E64" s="90" t="str">
        <f>IFERROR(__xludf.dummyfunction("""COMPUTED_VALUE"""),"005.241.694-11")</f>
        <v>005.241.694-11</v>
      </c>
      <c r="F64" s="90" t="str">
        <f>IFERROR(__xludf.dummyfunction("""COMPUTED_VALUE"""),"INFANTIL 1")</f>
        <v>INFANTIL 1</v>
      </c>
      <c r="G64" s="90" t="str">
        <f>IFERROR(__xludf.dummyfunction("""COMPUTED_VALUE"""),"CEMEI PROFESSORA LINDOMAR DOMINGOS DA SILVA ANJOS")</f>
        <v>CEMEI PROFESSORA LINDOMAR DOMINGOS DA SILVA ANJOS</v>
      </c>
      <c r="H64" s="90" t="str">
        <f>IFERROR(__xludf.dummyfunction("""COMPUTED_VALUE"""),"REGIONAL 5")</f>
        <v>REGIONAL 5</v>
      </c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ht="15.75" customHeight="1" spans="1:26">
      <c r="A65" s="90" t="str">
        <f>IFERROR(__xludf.dummyfunction("""COMPUTED_VALUE"""),"28/01/2026 09:33:11")</f>
        <v>28/01/2026 09:33:11</v>
      </c>
      <c r="B65" s="90" t="str">
        <f>IFERROR(__xludf.dummyfunction("""COMPUTED_VALUE"""),"6")</f>
        <v>6</v>
      </c>
      <c r="C65" s="144" t="str">
        <f>IFERROR(__xludf.dummyfunction("""COMPUTED_VALUE"""),"JASMYNE ELOISE DOS SANTOS")</f>
        <v>JASMYNE ELOISE DOS SANTOS</v>
      </c>
      <c r="D65" s="90" t="str">
        <f>IFERROR(__xludf.dummyfunction("""COMPUTED_VALUE"""),"23/06/2024")</f>
        <v>23/06/2024</v>
      </c>
      <c r="E65" s="90" t="str">
        <f>IFERROR(__xludf.dummyfunction("""COMPUTED_VALUE"""),"004.726.704-68")</f>
        <v>004.726.704-68</v>
      </c>
      <c r="F65" s="90" t="str">
        <f>IFERROR(__xludf.dummyfunction("""COMPUTED_VALUE"""),"INFANTIL 1")</f>
        <v>INFANTIL 1</v>
      </c>
      <c r="G65" s="90" t="str">
        <f>IFERROR(__xludf.dummyfunction("""COMPUTED_VALUE"""),"CEMEI PROFESSORA LINDOMAR DOMINGOS DA SILVA ANJOS")</f>
        <v>CEMEI PROFESSORA LINDOMAR DOMINGOS DA SILVA ANJOS</v>
      </c>
      <c r="H65" s="90" t="str">
        <f>IFERROR(__xludf.dummyfunction("""COMPUTED_VALUE"""),"REGIONAL 5")</f>
        <v>REGIONAL 5</v>
      </c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ht="15.75" customHeight="1" spans="1:26">
      <c r="A66" s="90" t="str">
        <f>IFERROR(__xludf.dummyfunction("""COMPUTED_VALUE"""),"28/01/2026 09:38:34")</f>
        <v>28/01/2026 09:38:34</v>
      </c>
      <c r="B66" s="90" t="str">
        <f>IFERROR(__xludf.dummyfunction("""COMPUTED_VALUE"""),"7")</f>
        <v>7</v>
      </c>
      <c r="C66" s="144" t="str">
        <f>IFERROR(__xludf.dummyfunction("""COMPUTED_VALUE"""),"ALEF GABRIEL FERREIRA SALES")</f>
        <v>ALEF GABRIEL FERREIRA SALES</v>
      </c>
      <c r="D66" s="90" t="str">
        <f>IFERROR(__xludf.dummyfunction("""COMPUTED_VALUE"""),"31/05/2024")</f>
        <v>31/05/2024</v>
      </c>
      <c r="E66" s="90" t="str">
        <f>IFERROR(__xludf.dummyfunction("""COMPUTED_VALUE"""),"003.127.374-24")</f>
        <v>003.127.374-24</v>
      </c>
      <c r="F66" s="90" t="str">
        <f>IFERROR(__xludf.dummyfunction("""COMPUTED_VALUE"""),"INFANTIL 1")</f>
        <v>INFANTIL 1</v>
      </c>
      <c r="G66" s="90" t="str">
        <f>IFERROR(__xludf.dummyfunction("""COMPUTED_VALUE"""),"CEMEI PROFESSORA LINDOMAR DOMINGOS DA SILVA ANJOS")</f>
        <v>CEMEI PROFESSORA LINDOMAR DOMINGOS DA SILVA ANJOS</v>
      </c>
      <c r="H66" s="90" t="str">
        <f>IFERROR(__xludf.dummyfunction("""COMPUTED_VALUE"""),"REGIONAL 5")</f>
        <v>REGIONAL 5</v>
      </c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ht="15.75" customHeight="1" spans="1:26">
      <c r="A67" s="90" t="str">
        <f>IFERROR(__xludf.dummyfunction("""COMPUTED_VALUE"""),"28/01/2026 10:45:36")</f>
        <v>28/01/2026 10:45:36</v>
      </c>
      <c r="B67" s="90" t="str">
        <f>IFERROR(__xludf.dummyfunction("""COMPUTED_VALUE"""),"8")</f>
        <v>8</v>
      </c>
      <c r="C67" s="144" t="str">
        <f>IFERROR(__xludf.dummyfunction("""COMPUTED_VALUE"""),"THEO MENDES DA SILVA")</f>
        <v>THEO MENDES DA SILVA</v>
      </c>
      <c r="D67" s="90" t="str">
        <f>IFERROR(__xludf.dummyfunction("""COMPUTED_VALUE"""),"25/11/2024")</f>
        <v>25/11/2024</v>
      </c>
      <c r="E67" s="90" t="str">
        <f>IFERROR(__xludf.dummyfunction("""COMPUTED_VALUE"""),"004.687.804-16")</f>
        <v>004.687.804-16</v>
      </c>
      <c r="F67" s="90" t="str">
        <f>IFERROR(__xludf.dummyfunction("""COMPUTED_VALUE"""),"INFANTIL 1")</f>
        <v>INFANTIL 1</v>
      </c>
      <c r="G67" s="90" t="str">
        <f>IFERROR(__xludf.dummyfunction("""COMPUTED_VALUE"""),"CEMEI PROFESSORA LINDOMAR DOMINGOS DA SILVA ANJOS")</f>
        <v>CEMEI PROFESSORA LINDOMAR DOMINGOS DA SILVA ANJOS</v>
      </c>
      <c r="H67" s="90" t="str">
        <f>IFERROR(__xludf.dummyfunction("""COMPUTED_VALUE"""),"REGIONAL 5")</f>
        <v>REGIONAL 5</v>
      </c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ht="15.75" customHeight="1" spans="1:26">
      <c r="A68" s="90" t="str">
        <f>IFERROR(__xludf.dummyfunction("""COMPUTED_VALUE"""),"28/01/2026 12:49:55")</f>
        <v>28/01/2026 12:49:55</v>
      </c>
      <c r="B68" s="90" t="str">
        <f>IFERROR(__xludf.dummyfunction("""COMPUTED_VALUE"""),"9")</f>
        <v>9</v>
      </c>
      <c r="C68" s="144" t="str">
        <f>IFERROR(__xludf.dummyfunction("""COMPUTED_VALUE"""),"KAYLLANY CECÍLIA FEITOZA SANTOS DA SILVA")</f>
        <v>KAYLLANY CECÍLIA FEITOZA SANTOS DA SILVA</v>
      </c>
      <c r="D68" s="90" t="str">
        <f>IFERROR(__xludf.dummyfunction("""COMPUTED_VALUE"""),"10/09/2024")</f>
        <v>10/09/2024</v>
      </c>
      <c r="E68" s="90" t="str">
        <f>IFERROR(__xludf.dummyfunction("""COMPUTED_VALUE"""),"004.046.764-30")</f>
        <v>004.046.764-30</v>
      </c>
      <c r="F68" s="90" t="str">
        <f>IFERROR(__xludf.dummyfunction("""COMPUTED_VALUE"""),"INFANTIL 1")</f>
        <v>INFANTIL 1</v>
      </c>
      <c r="G68" s="90" t="str">
        <f>IFERROR(__xludf.dummyfunction("""COMPUTED_VALUE"""),"CEMEI PROFESSORA LINDOMAR DOMINGOS DA SILVA ANJOS")</f>
        <v>CEMEI PROFESSORA LINDOMAR DOMINGOS DA SILVA ANJOS</v>
      </c>
      <c r="H68" s="90" t="str">
        <f>IFERROR(__xludf.dummyfunction("""COMPUTED_VALUE"""),"REGIONAL 5")</f>
        <v>REGIONAL 5</v>
      </c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ht="15.75" customHeight="1" spans="1:26">
      <c r="A69" s="90" t="str">
        <f>IFERROR(__xludf.dummyfunction("""COMPUTED_VALUE"""),"28/01/2026 20:34:21")</f>
        <v>28/01/2026 20:34:21</v>
      </c>
      <c r="B69" s="90" t="str">
        <f>IFERROR(__xludf.dummyfunction("""COMPUTED_VALUE"""),"10")</f>
        <v>10</v>
      </c>
      <c r="C69" s="144" t="str">
        <f>IFERROR(__xludf.dummyfunction("""COMPUTED_VALUE"""),"LUNNA HÊLOA PINHEIRO DOS SANTOS")</f>
        <v>LUNNA HÊLOA PINHEIRO DOS SANTOS</v>
      </c>
      <c r="D69" s="90" t="str">
        <f>IFERROR(__xludf.dummyfunction("""COMPUTED_VALUE"""),"01/04/2024")</f>
        <v>01/04/2024</v>
      </c>
      <c r="E69" s="90" t="str">
        <f>IFERROR(__xludf.dummyfunction("""COMPUTED_VALUE"""),"002.535.554-69")</f>
        <v>002.535.554-69</v>
      </c>
      <c r="F69" s="90" t="str">
        <f>IFERROR(__xludf.dummyfunction("""COMPUTED_VALUE"""),"INFANTIL 1")</f>
        <v>INFANTIL 1</v>
      </c>
      <c r="G69" s="90" t="str">
        <f>IFERROR(__xludf.dummyfunction("""COMPUTED_VALUE"""),"CEMEI PROFESSORA LINDOMAR DOMINGOS DA SILVA ANJOS")</f>
        <v>CEMEI PROFESSORA LINDOMAR DOMINGOS DA SILVA ANJOS</v>
      </c>
      <c r="H69" s="90" t="str">
        <f>IFERROR(__xludf.dummyfunction("""COMPUTED_VALUE"""),"REGIONAL 5")</f>
        <v>REGIONAL 5</v>
      </c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ht="15.75" customHeight="1" spans="1:26">
      <c r="A70" s="90" t="str">
        <f>IFERROR(__xludf.dummyfunction("""COMPUTED_VALUE"""),"06/02/2026 14:12:06")</f>
        <v>06/02/2026 14:12:06</v>
      </c>
      <c r="B70" s="90" t="str">
        <f>IFERROR(__xludf.dummyfunction("""COMPUTED_VALUE"""),"11")</f>
        <v>11</v>
      </c>
      <c r="C70" s="144" t="str">
        <f>IFERROR(__xludf.dummyfunction("""COMPUTED_VALUE"""),"VIVIANE MARIA DE SANTANA FERREIRA")</f>
        <v>VIVIANE MARIA DE SANTANA FERREIRA</v>
      </c>
      <c r="D70" s="90" t="str">
        <f>IFERROR(__xludf.dummyfunction("""COMPUTED_VALUE"""),"16/04/2024")</f>
        <v>16/04/2024</v>
      </c>
      <c r="E70" s="90" t="str">
        <f>IFERROR(__xludf.dummyfunction("""COMPUTED_VALUE"""),"003.219.974-09")</f>
        <v>003.219.974-09</v>
      </c>
      <c r="F70" s="90" t="str">
        <f>IFERROR(__xludf.dummyfunction("""COMPUTED_VALUE"""),"INFANTIL 1")</f>
        <v>INFANTIL 1</v>
      </c>
      <c r="G70" s="90" t="str">
        <f>IFERROR(__xludf.dummyfunction("""COMPUTED_VALUE"""),"CEMEI PROFESSORA LINDOMAR DOMINGOS DA SILVA ANJOS")</f>
        <v>CEMEI PROFESSORA LINDOMAR DOMINGOS DA SILVA ANJOS</v>
      </c>
      <c r="H70" s="90" t="str">
        <f>IFERROR(__xludf.dummyfunction("""COMPUTED_VALUE"""),"REGIONAL 5")</f>
        <v>REGIONAL 5</v>
      </c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ht="15.75" customHeight="1" spans="1:26">
      <c r="A71" s="90" t="str">
        <f>IFERROR(__xludf.dummyfunction("""COMPUTED_VALUE"""),"11/02/2026 09:26:12")</f>
        <v>11/02/2026 09:26:12</v>
      </c>
      <c r="B71" s="90" t="str">
        <f>IFERROR(__xludf.dummyfunction("""COMPUTED_VALUE"""),"12")</f>
        <v>12</v>
      </c>
      <c r="C71" s="144" t="str">
        <f>IFERROR(__xludf.dummyfunction("""COMPUTED_VALUE"""),"KAUANY ISABELLE DA SILVA SANTOS")</f>
        <v>KAUANY ISABELLE DA SILVA SANTOS</v>
      </c>
      <c r="D71" s="90" t="str">
        <f>IFERROR(__xludf.dummyfunction("""COMPUTED_VALUE"""),"13/09/2024")</f>
        <v>13/09/2024</v>
      </c>
      <c r="E71" s="90" t="str">
        <f>IFERROR(__xludf.dummyfunction("""COMPUTED_VALUE"""),"004.058.404-62")</f>
        <v>004.058.404-62</v>
      </c>
      <c r="F71" s="90" t="str">
        <f>IFERROR(__xludf.dummyfunction("""COMPUTED_VALUE"""),"INFANTIL 1")</f>
        <v>INFANTIL 1</v>
      </c>
      <c r="G71" s="90" t="str">
        <f>IFERROR(__xludf.dummyfunction("""COMPUTED_VALUE"""),"CEMEI PROFESSORA LINDOMAR DOMINGOS DA SILVA ANJOS")</f>
        <v>CEMEI PROFESSORA LINDOMAR DOMINGOS DA SILVA ANJOS</v>
      </c>
      <c r="H71" s="90" t="str">
        <f>IFERROR(__xludf.dummyfunction("""COMPUTED_VALUE"""),"REGIONAL 5")</f>
        <v>REGIONAL 5</v>
      </c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ht="15.75" customHeight="1" spans="1:26">
      <c r="A72" s="90" t="str">
        <f>IFERROR(__xludf.dummyfunction("""COMPUTED_VALUE"""),"26/02/2026 23:54:06")</f>
        <v>26/02/2026 23:54:06</v>
      </c>
      <c r="B72" s="90" t="str">
        <f>IFERROR(__xludf.dummyfunction("""COMPUTED_VALUE"""),"13")</f>
        <v>13</v>
      </c>
      <c r="C72" s="144" t="str">
        <f>IFERROR(__xludf.dummyfunction("""COMPUTED_VALUE"""),"ARTHUR MIGUEL DOS SANTOS ROCHA")</f>
        <v>ARTHUR MIGUEL DOS SANTOS ROCHA</v>
      </c>
      <c r="D72" s="90" t="str">
        <f>IFERROR(__xludf.dummyfunction("""COMPUTED_VALUE"""),"21/01/2025")</f>
        <v>21/01/2025</v>
      </c>
      <c r="E72" s="90" t="str">
        <f>IFERROR(__xludf.dummyfunction("""COMPUTED_VALUE"""),"005.161.924-50")</f>
        <v>005.161.924-50</v>
      </c>
      <c r="F72" s="90" t="str">
        <f>IFERROR(__xludf.dummyfunction("""COMPUTED_VALUE"""),"INFANTIL 1")</f>
        <v>INFANTIL 1</v>
      </c>
      <c r="G72" s="90" t="str">
        <f>IFERROR(__xludf.dummyfunction("""COMPUTED_VALUE"""),"CEMEI PROFESSORA LINDOMAR DOMINGOS DA SILVA ANJOS")</f>
        <v>CEMEI PROFESSORA LINDOMAR DOMINGOS DA SILVA ANJOS</v>
      </c>
      <c r="H72" s="90" t="str">
        <f>IFERROR(__xludf.dummyfunction("""COMPUTED_VALUE"""),"REGIONAL 5")</f>
        <v>REGIONAL 5</v>
      </c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ht="15.75" customHeight="1" spans="1:26">
      <c r="A73" s="90" t="str">
        <f>IFERROR(__xludf.dummyfunction("""COMPUTED_VALUE"""),"03/03/2026 13:59:55")</f>
        <v>03/03/2026 13:59:55</v>
      </c>
      <c r="B73" s="90" t="str">
        <f>IFERROR(__xludf.dummyfunction("""COMPUTED_VALUE"""),"14")</f>
        <v>14</v>
      </c>
      <c r="C73" s="144" t="str">
        <f>IFERROR(__xludf.dummyfunction("""COMPUTED_VALUE"""),"GAEL ANTÔNIO DEODATO DE MEDEIROS")</f>
        <v>GAEL ANTÔNIO DEODATO DE MEDEIROS</v>
      </c>
      <c r="D73" s="90" t="str">
        <f>IFERROR(__xludf.dummyfunction("""COMPUTED_VALUE"""),"05/04/2025")</f>
        <v>05/04/2025</v>
      </c>
      <c r="E73" s="90" t="str">
        <f>IFERROR(__xludf.dummyfunction("""COMPUTED_VALUE"""),"005.879.454-94")</f>
        <v>005.879.454-94</v>
      </c>
      <c r="F73" s="90" t="str">
        <f>IFERROR(__xludf.dummyfunction("""COMPUTED_VALUE"""),"INFANTIL 1")</f>
        <v>INFANTIL 1</v>
      </c>
      <c r="G73" s="90" t="str">
        <f>IFERROR(__xludf.dummyfunction("""COMPUTED_VALUE"""),"CEMEI PROFESSORA LINDOMAR DOMINGOS DA SILVA ANJOS")</f>
        <v>CEMEI PROFESSORA LINDOMAR DOMINGOS DA SILVA ANJOS</v>
      </c>
      <c r="H73" s="90" t="str">
        <f>IFERROR(__xludf.dummyfunction("""COMPUTED_VALUE"""),"REGIONAL 5")</f>
        <v>REGIONAL 5</v>
      </c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ht="15.75" customHeight="1" spans="1:26">
      <c r="A74" s="90" t="str">
        <f>IFERROR(__xludf.dummyfunction("""COMPUTED_VALUE"""),"04/03/2026 10:32:01")</f>
        <v>04/03/2026 10:32:01</v>
      </c>
      <c r="B74" s="90" t="str">
        <f>IFERROR(__xludf.dummyfunction("""COMPUTED_VALUE"""),"15")</f>
        <v>15</v>
      </c>
      <c r="C74" s="144" t="str">
        <f>IFERROR(__xludf.dummyfunction("""COMPUTED_VALUE"""),"NOAH DANIEL MEDEIROS DA SILVA")</f>
        <v>NOAH DANIEL MEDEIROS DA SILVA</v>
      </c>
      <c r="D74" s="90" t="str">
        <f>IFERROR(__xludf.dummyfunction("""COMPUTED_VALUE"""),"21/05/2025")</f>
        <v>21/05/2025</v>
      </c>
      <c r="E74" s="90" t="str">
        <f>IFERROR(__xludf.dummyfunction("""COMPUTED_VALUE"""),"006.309.024-45")</f>
        <v>006.309.024-45</v>
      </c>
      <c r="F74" s="90" t="str">
        <f>IFERROR(__xludf.dummyfunction("""COMPUTED_VALUE"""),"INFANTIL 1")</f>
        <v>INFANTIL 1</v>
      </c>
      <c r="G74" s="90" t="str">
        <f>IFERROR(__xludf.dummyfunction("""COMPUTED_VALUE"""),"CEMEI PROFESSORA LINDOMAR DOMINGOS DA SILVA ANJOS")</f>
        <v>CEMEI PROFESSORA LINDOMAR DOMINGOS DA SILVA ANJOS</v>
      </c>
      <c r="H74" s="90" t="str">
        <f>IFERROR(__xludf.dummyfunction("""COMPUTED_VALUE"""),"REGIONAL 5")</f>
        <v>REGIONAL 5</v>
      </c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ht="15.75" customHeight="1" spans="1:26">
      <c r="A75" s="90" t="str">
        <f>IFERROR(__xludf.dummyfunction("""COMPUTED_VALUE"""),"23/03/2026 12:35:29")</f>
        <v>23/03/2026 12:35:29</v>
      </c>
      <c r="B75" s="90" t="str">
        <f>IFERROR(__xludf.dummyfunction("""COMPUTED_VALUE"""),"16")</f>
        <v>16</v>
      </c>
      <c r="C75" s="144" t="str">
        <f>IFERROR(__xludf.dummyfunction("""COMPUTED_VALUE"""),"RAVI GABRIEL DA ROCHA PRAEIRO")</f>
        <v>RAVI GABRIEL DA ROCHA PRAEIRO</v>
      </c>
      <c r="D75" s="90" t="str">
        <f>IFERROR(__xludf.dummyfunction("""COMPUTED_VALUE"""),"07/11/2025")</f>
        <v>07/11/2025</v>
      </c>
      <c r="E75" s="90" t="str">
        <f>IFERROR(__xludf.dummyfunction("""COMPUTED_VALUE"""),"022.291.614-15")</f>
        <v>022.291.614-15</v>
      </c>
      <c r="F75" s="90" t="str">
        <f>IFERROR(__xludf.dummyfunction("""COMPUTED_VALUE"""),"INFANTIL 1")</f>
        <v>INFANTIL 1</v>
      </c>
      <c r="G75" s="90" t="str">
        <f>IFERROR(__xludf.dummyfunction("""COMPUTED_VALUE"""),"CEMEI PROFESSORA LINDOMAR DOMINGOS DA SILVA ANJOS")</f>
        <v>CEMEI PROFESSORA LINDOMAR DOMINGOS DA SILVA ANJOS</v>
      </c>
      <c r="H75" s="90" t="str">
        <f>IFERROR(__xludf.dummyfunction("""COMPUTED_VALUE"""),"REGIONAL 5")</f>
        <v>REGIONAL 5</v>
      </c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ht="15.75" customHeight="1" spans="1:26">
      <c r="A76" s="90" t="str">
        <f>IFERROR(__xludf.dummyfunction("""COMPUTED_VALUE"""),"30/03/2026 09:26:51")</f>
        <v>30/03/2026 09:26:51</v>
      </c>
      <c r="B76" s="90" t="str">
        <f>IFERROR(__xludf.dummyfunction("""COMPUTED_VALUE"""),"17")</f>
        <v>17</v>
      </c>
      <c r="C76" s="144" t="str">
        <f>IFERROR(__xludf.dummyfunction("""COMPUTED_VALUE"""),"FRANCISCO CAVALCANTI MAGALHÃES")</f>
        <v>FRANCISCO CAVALCANTI MAGALHÃES</v>
      </c>
      <c r="D76" s="90" t="str">
        <f>IFERROR(__xludf.dummyfunction("""COMPUTED_VALUE"""),"26/11/2025")</f>
        <v>26/11/2025</v>
      </c>
      <c r="E76" s="90" t="str">
        <f>IFERROR(__xludf.dummyfunction("""COMPUTED_VALUE"""),"027.792.694-72")</f>
        <v>027.792.694-72</v>
      </c>
      <c r="F76" s="90" t="str">
        <f>IFERROR(__xludf.dummyfunction("""COMPUTED_VALUE"""),"INFANTIL 1")</f>
        <v>INFANTIL 1</v>
      </c>
      <c r="G76" s="90" t="str">
        <f>IFERROR(__xludf.dummyfunction("""COMPUTED_VALUE"""),"CEMEI PROFESSORA LINDOMAR DOMINGOS DA SILVA ANJOS")</f>
        <v>CEMEI PROFESSORA LINDOMAR DOMINGOS DA SILVA ANJOS</v>
      </c>
      <c r="H76" s="90" t="str">
        <f>IFERROR(__xludf.dummyfunction("""COMPUTED_VALUE"""),"REGIONAL 5")</f>
        <v>REGIONAL 5</v>
      </c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ht="15.75" customHeight="1" spans="1:26">
      <c r="A77" s="90" t="str">
        <f>IFERROR(__xludf.dummyfunction("""COMPUTED_VALUE"""),"01/04/2026 11:07:18")</f>
        <v>01/04/2026 11:07:18</v>
      </c>
      <c r="B77" s="90" t="str">
        <f>IFERROR(__xludf.dummyfunction("""COMPUTED_VALUE"""),"18")</f>
        <v>18</v>
      </c>
      <c r="C77" s="144" t="str">
        <f>IFERROR(__xludf.dummyfunction("""COMPUTED_VALUE"""),"MARIA ISADORA SANTOS SEVERO")</f>
        <v>MARIA ISADORA SANTOS SEVERO</v>
      </c>
      <c r="D77" s="90" t="str">
        <f>IFERROR(__xludf.dummyfunction("""COMPUTED_VALUE"""),"03/09/2024")</f>
        <v>03/09/2024</v>
      </c>
      <c r="E77" s="90" t="str">
        <f>IFERROR(__xludf.dummyfunction("""COMPUTED_VALUE"""),"054.059.888-71")</f>
        <v>054.059.888-71</v>
      </c>
      <c r="F77" s="90" t="str">
        <f>IFERROR(__xludf.dummyfunction("""COMPUTED_VALUE"""),"INFANTIL 1")</f>
        <v>INFANTIL 1</v>
      </c>
      <c r="G77" s="90" t="str">
        <f>IFERROR(__xludf.dummyfunction("""COMPUTED_VALUE"""),"CEMEI PROFESSORA LINDOMAR DOMINGOS DA SILVA ANJOS")</f>
        <v>CEMEI PROFESSORA LINDOMAR DOMINGOS DA SILVA ANJOS</v>
      </c>
      <c r="H77" s="90" t="str">
        <f>IFERROR(__xludf.dummyfunction("""COMPUTED_VALUE"""),"REGIONAL 5")</f>
        <v>REGIONAL 5</v>
      </c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ht="15.75" customHeight="1" spans="1:26">
      <c r="A78" s="90" t="str">
        <f>IFERROR(__xludf.dummyfunction("""COMPUTED_VALUE"""),"08/04/2026 16:32:34")</f>
        <v>08/04/2026 16:32:34</v>
      </c>
      <c r="B78" s="90" t="str">
        <f>IFERROR(__xludf.dummyfunction("""COMPUTED_VALUE"""),"19")</f>
        <v>19</v>
      </c>
      <c r="C78" s="144" t="str">
        <f>IFERROR(__xludf.dummyfunction("""COMPUTED_VALUE"""),"MATTEO BERNARDO MONTEIRO ARAÚJO")</f>
        <v>MATTEO BERNARDO MONTEIRO ARAÚJO</v>
      </c>
      <c r="D78" s="90" t="str">
        <f>IFERROR(__xludf.dummyfunction("""COMPUTED_VALUE"""),"01/04/2025")</f>
        <v>01/04/2025</v>
      </c>
      <c r="E78" s="90" t="str">
        <f>IFERROR(__xludf.dummyfunction("""COMPUTED_VALUE"""),"005.825.614-85")</f>
        <v>005.825.614-85</v>
      </c>
      <c r="F78" s="90" t="str">
        <f>IFERROR(__xludf.dummyfunction("""COMPUTED_VALUE"""),"INFANTIL 1")</f>
        <v>INFANTIL 1</v>
      </c>
      <c r="G78" s="90" t="str">
        <f>IFERROR(__xludf.dummyfunction("""COMPUTED_VALUE"""),"CEMEI PROFESSORA LINDOMAR DOMINGOS DA SILVA ANJOS")</f>
        <v>CEMEI PROFESSORA LINDOMAR DOMINGOS DA SILVA ANJOS</v>
      </c>
      <c r="H78" s="90" t="str">
        <f>IFERROR(__xludf.dummyfunction("""COMPUTED_VALUE"""),"REGIONAL 5")</f>
        <v>REGIONAL 5</v>
      </c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ht="15.75" customHeight="1" spans="1:26">
      <c r="A79" s="90" t="str">
        <f>IFERROR(__xludf.dummyfunction("""COMPUTED_VALUE"""),"15/04/2026 13:07:53")</f>
        <v>15/04/2026 13:07:53</v>
      </c>
      <c r="B79" s="90" t="str">
        <f>IFERROR(__xludf.dummyfunction("""COMPUTED_VALUE"""),"20")</f>
        <v>20</v>
      </c>
      <c r="C79" s="144" t="str">
        <f>IFERROR(__xludf.dummyfunction("""COMPUTED_VALUE"""),"HADASSA ROSA MACIEL")</f>
        <v>HADASSA ROSA MACIEL</v>
      </c>
      <c r="D79" s="90" t="str">
        <f>IFERROR(__xludf.dummyfunction("""COMPUTED_VALUE"""),"30/08/2025")</f>
        <v>30/08/2025</v>
      </c>
      <c r="E79" s="90" t="str">
        <f>IFERROR(__xludf.dummyfunction("""COMPUTED_VALUE"""),"007.185.654-44")</f>
        <v>007.185.654-44</v>
      </c>
      <c r="F79" s="90" t="str">
        <f>IFERROR(__xludf.dummyfunction("""COMPUTED_VALUE"""),"INFANTIL 1")</f>
        <v>INFANTIL 1</v>
      </c>
      <c r="G79" s="90" t="str">
        <f>IFERROR(__xludf.dummyfunction("""COMPUTED_VALUE"""),"CEMEI PROFESSORA LINDOMAR DOMINGOS DA SILVA ANJOS")</f>
        <v>CEMEI PROFESSORA LINDOMAR DOMINGOS DA SILVA ANJOS</v>
      </c>
      <c r="H79" s="90" t="str">
        <f>IFERROR(__xludf.dummyfunction("""COMPUTED_VALUE"""),"REGIONAL 5")</f>
        <v>REGIONAL 5</v>
      </c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ht="15.75" customHeight="1" spans="1:26">
      <c r="A80" s="90" t="str">
        <f>IFERROR(__xludf.dummyfunction("""COMPUTED_VALUE"""),"04/05/2026 10:11:49")</f>
        <v>04/05/2026 10:11:49</v>
      </c>
      <c r="B80" s="90" t="str">
        <f>IFERROR(__xludf.dummyfunction("""COMPUTED_VALUE"""),"21")</f>
        <v>21</v>
      </c>
      <c r="C80" s="144" t="str">
        <f>IFERROR(__xludf.dummyfunction("""COMPUTED_VALUE"""),"MATTEO ALEJANDRO DE ARAÚJO ESCOBAR")</f>
        <v>MATTEO ALEJANDRO DE ARAÚJO ESCOBAR</v>
      </c>
      <c r="D80" s="90" t="str">
        <f>IFERROR(__xludf.dummyfunction("""COMPUTED_VALUE"""),"11/03/2025")</f>
        <v>11/03/2025</v>
      </c>
      <c r="E80" s="90" t="str">
        <f>IFERROR(__xludf.dummyfunction("""COMPUTED_VALUE"""),"005.682.884-59")</f>
        <v>005.682.884-59</v>
      </c>
      <c r="F80" s="90" t="str">
        <f>IFERROR(__xludf.dummyfunction("""COMPUTED_VALUE"""),"INFANTIL 1")</f>
        <v>INFANTIL 1</v>
      </c>
      <c r="G80" s="90" t="str">
        <f>IFERROR(__xludf.dummyfunction("""COMPUTED_VALUE"""),"CEMEI PROFESSORA LINDOMAR DOMINGOS DA SILVA ANJOS")</f>
        <v>CEMEI PROFESSORA LINDOMAR DOMINGOS DA SILVA ANJOS</v>
      </c>
      <c r="H80" s="90" t="str">
        <f>IFERROR(__xludf.dummyfunction("""COMPUTED_VALUE"""),"REGIONAL 5")</f>
        <v>REGIONAL 5</v>
      </c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ht="15.75" customHeight="1" spans="1:26">
      <c r="A81" s="90" t="str">
        <f>IFERROR(__xludf.dummyfunction("""COMPUTED_VALUE"""),"15/05/2026 11:54:29")</f>
        <v>15/05/2026 11:54:29</v>
      </c>
      <c r="B81" s="90" t="str">
        <f>IFERROR(__xludf.dummyfunction("""COMPUTED_VALUE"""),"22")</f>
        <v>22</v>
      </c>
      <c r="C81" s="144" t="str">
        <f>IFERROR(__xludf.dummyfunction("""COMPUTED_VALUE"""),"ARTHUR MIGUEL SOUZA DA SILVA")</f>
        <v>ARTHUR MIGUEL SOUZA DA SILVA</v>
      </c>
      <c r="D81" s="90" t="str">
        <f>IFERROR(__xludf.dummyfunction("""COMPUTED_VALUE"""),"10/09/2024")</f>
        <v>10/09/2024</v>
      </c>
      <c r="E81" s="90" t="str">
        <f>IFERROR(__xludf.dummyfunction("""COMPUTED_VALUE"""),"004.089.984-58")</f>
        <v>004.089.984-58</v>
      </c>
      <c r="F81" s="90" t="str">
        <f>IFERROR(__xludf.dummyfunction("""COMPUTED_VALUE"""),"INFANTIL 1")</f>
        <v>INFANTIL 1</v>
      </c>
      <c r="G81" s="90" t="str">
        <f>IFERROR(__xludf.dummyfunction("""COMPUTED_VALUE"""),"CEMEI PROFESSORA LINDOMAR DOMINGOS DA SILVA ANJOS")</f>
        <v>CEMEI PROFESSORA LINDOMAR DOMINGOS DA SILVA ANJOS</v>
      </c>
      <c r="H81" s="90" t="str">
        <f>IFERROR(__xludf.dummyfunction("""COMPUTED_VALUE"""),"REGIONAL 5")</f>
        <v>REGIONAL 5</v>
      </c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ht="15.75" customHeight="1" spans="1:26">
      <c r="A82" s="90" t="str">
        <f>IFERROR(__xludf.dummyfunction("""COMPUTED_VALUE"""),"15/05/2026 12:03:27")</f>
        <v>15/05/2026 12:03:27</v>
      </c>
      <c r="B82" s="90" t="str">
        <f>IFERROR(__xludf.dummyfunction("""COMPUTED_VALUE"""),"23")</f>
        <v>23</v>
      </c>
      <c r="C82" s="144" t="str">
        <f>IFERROR(__xludf.dummyfunction("""COMPUTED_VALUE"""),"AYLLA KAROLINE SOUZA DA SILVA")</f>
        <v>AYLLA KAROLINE SOUZA DA SILVA</v>
      </c>
      <c r="D82" s="90" t="str">
        <f>IFERROR(__xludf.dummyfunction("""COMPUTED_VALUE"""),"10/09/2024")</f>
        <v>10/09/2024</v>
      </c>
      <c r="E82" s="90" t="str">
        <f>IFERROR(__xludf.dummyfunction("""COMPUTED_VALUE"""),"004.089.794-02")</f>
        <v>004.089.794-02</v>
      </c>
      <c r="F82" s="90" t="str">
        <f>IFERROR(__xludf.dummyfunction("""COMPUTED_VALUE"""),"INFANTIL 1")</f>
        <v>INFANTIL 1</v>
      </c>
      <c r="G82" s="90" t="str">
        <f>IFERROR(__xludf.dummyfunction("""COMPUTED_VALUE"""),"CEMEI PROFESSORA LINDOMAR DOMINGOS DA SILVA ANJOS")</f>
        <v>CEMEI PROFESSORA LINDOMAR DOMINGOS DA SILVA ANJOS</v>
      </c>
      <c r="H82" s="90" t="str">
        <f>IFERROR(__xludf.dummyfunction("""COMPUTED_VALUE"""),"REGIONAL 5")</f>
        <v>REGIONAL 5</v>
      </c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ht="15.75" customHeight="1" spans="1:26">
      <c r="A83" s="90" t="str">
        <f>IFERROR(__xludf.dummyfunction("""COMPUTED_VALUE"""),"30/05/2026 11:24:31")</f>
        <v>30/05/2026 11:24:31</v>
      </c>
      <c r="B83" s="90" t="str">
        <f>IFERROR(__xludf.dummyfunction("""COMPUTED_VALUE"""),"24")</f>
        <v>24</v>
      </c>
      <c r="C83" s="144" t="str">
        <f>IFERROR(__xludf.dummyfunction("""COMPUTED_VALUE"""),"Natanael Ryan Felix de Santana")</f>
        <v>Natanael Ryan Felix de Santana</v>
      </c>
      <c r="D83" s="90" t="str">
        <f>IFERROR(__xludf.dummyfunction("""COMPUTED_VALUE"""),"10/10/2024")</f>
        <v>10/10/2024</v>
      </c>
      <c r="E83" s="90" t="str">
        <f>IFERROR(__xludf.dummyfunction("""COMPUTED_VALUE"""),"004.409.374-85")</f>
        <v>004.409.374-85</v>
      </c>
      <c r="F83" s="90" t="str">
        <f>IFERROR(__xludf.dummyfunction("""COMPUTED_VALUE"""),"INFANTIL 1")</f>
        <v>INFANTIL 1</v>
      </c>
      <c r="G83" s="90" t="str">
        <f>IFERROR(__xludf.dummyfunction("""COMPUTED_VALUE"""),"CEMEI PROFESSORA LINDOMAR DOMINGOS DA SILVA ANJOS")</f>
        <v>CEMEI PROFESSORA LINDOMAR DOMINGOS DA SILVA ANJOS</v>
      </c>
      <c r="H83" s="90" t="str">
        <f>IFERROR(__xludf.dummyfunction("""COMPUTED_VALUE"""),"REGIONAL 5")</f>
        <v>REGIONAL 5</v>
      </c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ht="15.75" customHeight="1" spans="1:26">
      <c r="A84" s="90" t="str">
        <f>IFERROR(__xludf.dummyfunction("""COMPUTED_VALUE"""),"01/06/2026 13:25:04")</f>
        <v>01/06/2026 13:25:04</v>
      </c>
      <c r="B84" s="90" t="str">
        <f>IFERROR(__xludf.dummyfunction("""COMPUTED_VALUE"""),"25")</f>
        <v>25</v>
      </c>
      <c r="C84" s="144" t="str">
        <f>IFERROR(__xludf.dummyfunction("""COMPUTED_VALUE"""),"Ana liz Ferreira luz")</f>
        <v>Ana liz Ferreira luz</v>
      </c>
      <c r="D84" s="90" t="str">
        <f>IFERROR(__xludf.dummyfunction("""COMPUTED_VALUE"""),"02/09/2024")</f>
        <v>02/09/2024</v>
      </c>
      <c r="E84" s="90" t="str">
        <f>IFERROR(__xludf.dummyfunction("""COMPUTED_VALUE"""),"004.029.294-03")</f>
        <v>004.029.294-03</v>
      </c>
      <c r="F84" s="90" t="str">
        <f>IFERROR(__xludf.dummyfunction("""COMPUTED_VALUE"""),"INFANTIL 1")</f>
        <v>INFANTIL 1</v>
      </c>
      <c r="G84" s="90" t="str">
        <f>IFERROR(__xludf.dummyfunction("""COMPUTED_VALUE"""),"CEMEI PROFESSORA LINDOMAR DOMINGOS DA SILVA ANJOS")</f>
        <v>CEMEI PROFESSORA LINDOMAR DOMINGOS DA SILVA ANJOS</v>
      </c>
      <c r="H84" s="90" t="str">
        <f>IFERROR(__xludf.dummyfunction("""COMPUTED_VALUE"""),"REGIONAL 5")</f>
        <v>REGIONAL 5</v>
      </c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ht="15.75" customHeight="1" spans="1:26">
      <c r="A85" s="90" t="str">
        <f>IFERROR(__xludf.dummyfunction("""COMPUTED_VALUE"""),"04/06/2026 10:58:04")</f>
        <v>04/06/2026 10:58:04</v>
      </c>
      <c r="B85" s="90" t="str">
        <f>IFERROR(__xludf.dummyfunction("""COMPUTED_VALUE"""),"26")</f>
        <v>26</v>
      </c>
      <c r="C85" s="144" t="str">
        <f>IFERROR(__xludf.dummyfunction("""COMPUTED_VALUE"""),"Théo José Cruz Martins de Santana")</f>
        <v>Théo José Cruz Martins de Santana</v>
      </c>
      <c r="D85" s="90" t="str">
        <f>IFERROR(__xludf.dummyfunction("""COMPUTED_VALUE"""),"28/04/2024")</f>
        <v>28/04/2024</v>
      </c>
      <c r="E85" s="90" t="str">
        <f>IFERROR(__xludf.dummyfunction("""COMPUTED_VALUE"""),"002.750.404-29")</f>
        <v>002.750.404-29</v>
      </c>
      <c r="F85" s="90" t="str">
        <f>IFERROR(__xludf.dummyfunction("""COMPUTED_VALUE"""),"INFANTIL 1")</f>
        <v>INFANTIL 1</v>
      </c>
      <c r="G85" s="90" t="str">
        <f>IFERROR(__xludf.dummyfunction("""COMPUTED_VALUE"""),"CEMEI PROFESSORA LINDOMAR DOMINGOS DA SILVA ANJOS")</f>
        <v>CEMEI PROFESSORA LINDOMAR DOMINGOS DA SILVA ANJOS</v>
      </c>
      <c r="H85" s="90" t="str">
        <f>IFERROR(__xludf.dummyfunction("""COMPUTED_VALUE"""),"REGIONAL 5")</f>
        <v>REGIONAL 5</v>
      </c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ht="15.75" customHeight="1" spans="1:26">
      <c r="A86" s="90" t="str">
        <f>IFERROR(__xludf.dummyfunction("""COMPUTED_VALUE"""),"10/06/2026 09:48:38")</f>
        <v>10/06/2026 09:48:38</v>
      </c>
      <c r="B86" s="90" t="str">
        <f>IFERROR(__xludf.dummyfunction("""COMPUTED_VALUE"""),"27")</f>
        <v>27</v>
      </c>
      <c r="C86" s="144" t="str">
        <f>IFERROR(__xludf.dummyfunction("""COMPUTED_VALUE"""),"Théo Gabriel Vicente Da Silva")</f>
        <v>Théo Gabriel Vicente Da Silva</v>
      </c>
      <c r="D86" s="90" t="str">
        <f>IFERROR(__xludf.dummyfunction("""COMPUTED_VALUE"""),"22/01/2025")</f>
        <v>22/01/2025</v>
      </c>
      <c r="E86" s="90" t="str">
        <f>IFERROR(__xludf.dummyfunction("""COMPUTED_VALUE"""),"005.155.414-35")</f>
        <v>005.155.414-35</v>
      </c>
      <c r="F86" s="90" t="str">
        <f>IFERROR(__xludf.dummyfunction("""COMPUTED_VALUE"""),"INFANTIL 1")</f>
        <v>INFANTIL 1</v>
      </c>
      <c r="G86" s="90" t="str">
        <f>IFERROR(__xludf.dummyfunction("""COMPUTED_VALUE"""),"CEMEI PROFESSORA LINDOMAR DOMINGOS DA SILVA ANJOS")</f>
        <v>CEMEI PROFESSORA LINDOMAR DOMINGOS DA SILVA ANJOS</v>
      </c>
      <c r="H86" s="90" t="str">
        <f>IFERROR(__xludf.dummyfunction("""COMPUTED_VALUE"""),"REGIONAL 5")</f>
        <v>REGIONAL 5</v>
      </c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ht="15.75" customHeight="1" spans="1:26">
      <c r="A87" s="90" t="str">
        <f>IFERROR(__xludf.dummyfunction("""COMPUTED_VALUE"""),"22/07/2026 11:43:16")</f>
        <v>22/07/2026 11:43:16</v>
      </c>
      <c r="B87" s="90" t="str">
        <f>IFERROR(__xludf.dummyfunction("""COMPUTED_VALUE"""),"28")</f>
        <v>28</v>
      </c>
      <c r="C87" s="144" t="str">
        <f>IFERROR(__xludf.dummyfunction("""COMPUTED_VALUE"""),"Amélie Lauren Lima Da Silva")</f>
        <v>Amélie Lauren Lima Da Silva</v>
      </c>
      <c r="D87" s="90" t="str">
        <f>IFERROR(__xludf.dummyfunction("""COMPUTED_VALUE"""),"24/10/2024")</f>
        <v>24/10/2024</v>
      </c>
      <c r="E87" s="90" t="str">
        <f>IFERROR(__xludf.dummyfunction("""COMPUTED_VALUE"""),"004.430.274-63")</f>
        <v>004.430.274-63</v>
      </c>
      <c r="F87" s="90" t="str">
        <f>IFERROR(__xludf.dummyfunction("""COMPUTED_VALUE"""),"INFANTIL 1")</f>
        <v>INFANTIL 1</v>
      </c>
      <c r="G87" s="90" t="str">
        <f>IFERROR(__xludf.dummyfunction("""COMPUTED_VALUE"""),"CEMEI PROFESSORA LINDOMAR DOMINGOS DA SILVA ANJOS")</f>
        <v>CEMEI PROFESSORA LINDOMAR DOMINGOS DA SILVA ANJOS</v>
      </c>
      <c r="H87" s="90" t="str">
        <f>IFERROR(__xludf.dummyfunction("""COMPUTED_VALUE"""),"REGIONAL 5")</f>
        <v>REGIONAL 5</v>
      </c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ht="15.75" customHeight="1" spans="1:26">
      <c r="A88" s="90" t="str">
        <f>IFERROR(__xludf.dummyfunction("""COMPUTED_VALUE"""),"23/07/2026 14:13:37")</f>
        <v>23/07/2026 14:13:37</v>
      </c>
      <c r="B88" s="90" t="str">
        <f>IFERROR(__xludf.dummyfunction("""COMPUTED_VALUE"""),"29")</f>
        <v>29</v>
      </c>
      <c r="C88" s="144" t="str">
        <f>IFERROR(__xludf.dummyfunction("""COMPUTED_VALUE"""),"Oliver Bernardo Lima Nunes")</f>
        <v>Oliver Bernardo Lima Nunes</v>
      </c>
      <c r="D88" s="90" t="str">
        <f>IFERROR(__xludf.dummyfunction("""COMPUTED_VALUE"""),"10/10/2025")</f>
        <v>10/10/2025</v>
      </c>
      <c r="E88" s="90" t="str">
        <f>IFERROR(__xludf.dummyfunction("""COMPUTED_VALUE"""),"015.350.484-68")</f>
        <v>015.350.484-68</v>
      </c>
      <c r="F88" s="90" t="str">
        <f>IFERROR(__xludf.dummyfunction("""COMPUTED_VALUE"""),"INFANTIL 1")</f>
        <v>INFANTIL 1</v>
      </c>
      <c r="G88" s="90" t="str">
        <f>IFERROR(__xludf.dummyfunction("""COMPUTED_VALUE"""),"CEMEI PROFESSORA LINDOMAR DOMINGOS DA SILVA ANJOS")</f>
        <v>CEMEI PROFESSORA LINDOMAR DOMINGOS DA SILVA ANJOS</v>
      </c>
      <c r="H88" s="90" t="str">
        <f>IFERROR(__xludf.dummyfunction("""COMPUTED_VALUE"""),"REGIONAL 5")</f>
        <v>REGIONAL 5</v>
      </c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ht="15.75" customHeight="1" spans="1:26">
      <c r="A89" s="90" t="str">
        <f>IFERROR(__xludf.dummyfunction("""COMPUTED_VALUE"""),"07/08/2026 11:03:06")</f>
        <v>07/08/2026 11:03:06</v>
      </c>
      <c r="B89" s="90" t="str">
        <f>IFERROR(__xludf.dummyfunction("""COMPUTED_VALUE"""),"30")</f>
        <v>30</v>
      </c>
      <c r="C89" s="144" t="str">
        <f>IFERROR(__xludf.dummyfunction("""COMPUTED_VALUE"""),"Aquiles Miranda Lemos")</f>
        <v>Aquiles Miranda Lemos</v>
      </c>
      <c r="D89" s="90" t="str">
        <f>IFERROR(__xludf.dummyfunction("""COMPUTED_VALUE"""),"10/09/2025")</f>
        <v>10/09/2025</v>
      </c>
      <c r="E89" s="90" t="str">
        <f>IFERROR(__xludf.dummyfunction("""COMPUTED_VALUE"""),"007.305.494-10")</f>
        <v>007.305.494-10</v>
      </c>
      <c r="F89" s="90" t="str">
        <f>IFERROR(__xludf.dummyfunction("""COMPUTED_VALUE"""),"INFANTIL 1")</f>
        <v>INFANTIL 1</v>
      </c>
      <c r="G89" s="90" t="str">
        <f>IFERROR(__xludf.dummyfunction("""COMPUTED_VALUE"""),"CEMEI PROFESSORA LINDOMAR DOMINGOS DA SILVA ANJOS")</f>
        <v>CEMEI PROFESSORA LINDOMAR DOMINGOS DA SILVA ANJOS</v>
      </c>
      <c r="H89" s="90" t="str">
        <f>IFERROR(__xludf.dummyfunction("""COMPUTED_VALUE"""),"REGIONAL 5")</f>
        <v>REGIONAL 5</v>
      </c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ht="15.75" customHeight="1" spans="1:26">
      <c r="A90" s="90" t="str">
        <f>IFERROR(__xludf.dummyfunction("""COMPUTED_VALUE"""),"26/08/2026 12:19:22")</f>
        <v>26/08/2026 12:19:22</v>
      </c>
      <c r="B90" s="90" t="str">
        <f>IFERROR(__xludf.dummyfunction("""COMPUTED_VALUE"""),"31")</f>
        <v>31</v>
      </c>
      <c r="C90" s="144" t="str">
        <f>IFERROR(__xludf.dummyfunction("""COMPUTED_VALUE"""),"Kyara Maria Costa da Silva")</f>
        <v>Kyara Maria Costa da Silva</v>
      </c>
      <c r="D90" s="90" t="str">
        <f>IFERROR(__xludf.dummyfunction("""COMPUTED_VALUE"""),"24/02/2025")</f>
        <v>24/02/2025</v>
      </c>
      <c r="E90" s="90" t="str">
        <f>IFERROR(__xludf.dummyfunction("""COMPUTED_VALUE"""),"071.972.110-50")</f>
        <v>071.972.110-50</v>
      </c>
      <c r="F90" s="90" t="str">
        <f>IFERROR(__xludf.dummyfunction("""COMPUTED_VALUE"""),"INFANTIL 1")</f>
        <v>INFANTIL 1</v>
      </c>
      <c r="G90" s="90" t="str">
        <f>IFERROR(__xludf.dummyfunction("""COMPUTED_VALUE"""),"CEMEI PROFESSORA LINDOMAR DOMINGOS DA SILVA ANJOS")</f>
        <v>CEMEI PROFESSORA LINDOMAR DOMINGOS DA SILVA ANJOS</v>
      </c>
      <c r="H90" s="90" t="str">
        <f>IFERROR(__xludf.dummyfunction("""COMPUTED_VALUE"""),"REGIONAL 5")</f>
        <v>REGIONAL 5</v>
      </c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ht="15.75" customHeight="1" spans="1:26">
      <c r="A91" s="90" t="str">
        <f>IFERROR(__xludf.dummyfunction("""COMPUTED_VALUE"""),"17/09/2026 11:58:57")</f>
        <v>17/09/2026 11:58:57</v>
      </c>
      <c r="B91" s="90" t="str">
        <f>IFERROR(__xludf.dummyfunction("""COMPUTED_VALUE"""),"32")</f>
        <v>32</v>
      </c>
      <c r="C91" s="144" t="str">
        <f>IFERROR(__xludf.dummyfunction("""COMPUTED_VALUE"""),"Liz Wandry da silva")</f>
        <v>Liz Wandry da silva</v>
      </c>
      <c r="D91" s="90" t="str">
        <f>IFERROR(__xludf.dummyfunction("""COMPUTED_VALUE"""),"14/12/2024")</f>
        <v>14/12/2024</v>
      </c>
      <c r="E91" s="90" t="str">
        <f>IFERROR(__xludf.dummyfunction("""COMPUTED_VALUE"""),"004.845.134-78")</f>
        <v>004.845.134-78</v>
      </c>
      <c r="F91" s="90" t="str">
        <f>IFERROR(__xludf.dummyfunction("""COMPUTED_VALUE"""),"INFANTIL 1")</f>
        <v>INFANTIL 1</v>
      </c>
      <c r="G91" s="90" t="str">
        <f>IFERROR(__xludf.dummyfunction("""COMPUTED_VALUE"""),"CEMEI PROFESSORA LINDOMAR DOMINGOS DA SILVA ANJOS")</f>
        <v>CEMEI PROFESSORA LINDOMAR DOMINGOS DA SILVA ANJOS</v>
      </c>
      <c r="H91" s="90" t="str">
        <f>IFERROR(__xludf.dummyfunction("""COMPUTED_VALUE"""),"REGIONAL 5")</f>
        <v>REGIONAL 5</v>
      </c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ht="15.75" customHeight="1" spans="1:26">
      <c r="A92" s="90" t="str">
        <f>IFERROR(__xludf.dummyfunction("""COMPUTED_VALUE"""),"23/09/2026 11:12:15")</f>
        <v>23/09/2026 11:12:15</v>
      </c>
      <c r="B92" s="90" t="str">
        <f>IFERROR(__xludf.dummyfunction("""COMPUTED_VALUE"""),"33")</f>
        <v>33</v>
      </c>
      <c r="C92" s="144" t="str">
        <f>IFERROR(__xludf.dummyfunction("""COMPUTED_VALUE"""),"Gabriel de Oliveira Cardoso")</f>
        <v>Gabriel de Oliveira Cardoso</v>
      </c>
      <c r="D92" s="90" t="str">
        <f>IFERROR(__xludf.dummyfunction("""COMPUTED_VALUE"""),"03/04/2024")</f>
        <v>03/04/2024</v>
      </c>
      <c r="E92" s="90" t="str">
        <f>IFERROR(__xludf.dummyfunction("""COMPUTED_VALUE"""),"007.652.866-96")</f>
        <v>007.652.866-96</v>
      </c>
      <c r="F92" s="90" t="str">
        <f>IFERROR(__xludf.dummyfunction("""COMPUTED_VALUE"""),"INFANTIL 1")</f>
        <v>INFANTIL 1</v>
      </c>
      <c r="G92" s="90" t="str">
        <f>IFERROR(__xludf.dummyfunction("""COMPUTED_VALUE"""),"CEMEI PROFESSORA LINDOMAR DOMINGOS DA SILVA ANJOS")</f>
        <v>CEMEI PROFESSORA LINDOMAR DOMINGOS DA SILVA ANJOS</v>
      </c>
      <c r="H92" s="90" t="str">
        <f>IFERROR(__xludf.dummyfunction("""COMPUTED_VALUE"""),"REGIONAL 5")</f>
        <v>REGIONAL 5</v>
      </c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ht="15.75" customHeight="1" spans="1:26">
      <c r="A93" s="90" t="str">
        <f>IFERROR(__xludf.dummyfunction("""COMPUTED_VALUE"""),"28/01/2026 08:06:54")</f>
        <v>28/01/2026 08:06:54</v>
      </c>
      <c r="B93" s="90" t="str">
        <f>IFERROR(__xludf.dummyfunction("""COMPUTED_VALUE"""),"1")</f>
        <v>1</v>
      </c>
      <c r="C93" s="144" t="str">
        <f>IFERROR(__xludf.dummyfunction("""COMPUTED_VALUE"""),"ALYCIA MARIA FERREIRA LOPES")</f>
        <v>ALYCIA MARIA FERREIRA LOPES</v>
      </c>
      <c r="D93" s="90" t="str">
        <f>IFERROR(__xludf.dummyfunction("""COMPUTED_VALUE"""),"06/04/2023")</f>
        <v>06/04/2023</v>
      </c>
      <c r="E93" s="90" t="str">
        <f>IFERROR(__xludf.dummyfunction("""COMPUTED_VALUE"""),"185.002.054-07")</f>
        <v>185.002.054-07</v>
      </c>
      <c r="F93" s="90" t="str">
        <f>IFERROR(__xludf.dummyfunction("""COMPUTED_VALUE"""),"INFANTIL 2")</f>
        <v>INFANTIL 2</v>
      </c>
      <c r="G93" s="90" t="str">
        <f>IFERROR(__xludf.dummyfunction("""COMPUTED_VALUE"""),"CEMEI PROFESSORA LINDOMAR DOMINGOS DA SILVA ANJOS")</f>
        <v>CEMEI PROFESSORA LINDOMAR DOMINGOS DA SILVA ANJOS</v>
      </c>
      <c r="H93" s="90" t="str">
        <f>IFERROR(__xludf.dummyfunction("""COMPUTED_VALUE"""),"REGIONAL 5")</f>
        <v>REGIONAL 5</v>
      </c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ht="15.75" customHeight="1" spans="1:26">
      <c r="A94" s="90" t="str">
        <f>IFERROR(__xludf.dummyfunction("""COMPUTED_VALUE"""),"28/01/2026 08:08:24")</f>
        <v>28/01/2026 08:08:24</v>
      </c>
      <c r="B94" s="90" t="str">
        <f>IFERROR(__xludf.dummyfunction("""COMPUTED_VALUE"""),"2")</f>
        <v>2</v>
      </c>
      <c r="C94" s="144" t="str">
        <f>IFERROR(__xludf.dummyfunction("""COMPUTED_VALUE"""),"MIKAEL OLIVEIRA FERREIRA CAVALCANTE")</f>
        <v>MIKAEL OLIVEIRA FERREIRA CAVALCANTE</v>
      </c>
      <c r="D94" s="90" t="str">
        <f>IFERROR(__xludf.dummyfunction("""COMPUTED_VALUE"""),"23/07/2023")</f>
        <v>23/07/2023</v>
      </c>
      <c r="E94" s="90" t="str">
        <f>IFERROR(__xludf.dummyfunction("""COMPUTED_VALUE"""),"186.109.834-04")</f>
        <v>186.109.834-04</v>
      </c>
      <c r="F94" s="90" t="str">
        <f>IFERROR(__xludf.dummyfunction("""COMPUTED_VALUE"""),"INFANTIL 2")</f>
        <v>INFANTIL 2</v>
      </c>
      <c r="G94" s="90" t="str">
        <f>IFERROR(__xludf.dummyfunction("""COMPUTED_VALUE"""),"CEMEI PROFESSORA LINDOMAR DOMINGOS DA SILVA ANJOS")</f>
        <v>CEMEI PROFESSORA LINDOMAR DOMINGOS DA SILVA ANJOS</v>
      </c>
      <c r="H94" s="90" t="str">
        <f>IFERROR(__xludf.dummyfunction("""COMPUTED_VALUE"""),"REGIONAL 5")</f>
        <v>REGIONAL 5</v>
      </c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ht="15.75" customHeight="1" spans="1:26">
      <c r="A95" s="90" t="str">
        <f>IFERROR(__xludf.dummyfunction("""COMPUTED_VALUE"""),"28/01/2026 08:14:44")</f>
        <v>28/01/2026 08:14:44</v>
      </c>
      <c r="B95" s="90" t="str">
        <f>IFERROR(__xludf.dummyfunction("""COMPUTED_VALUE"""),"3")</f>
        <v>3</v>
      </c>
      <c r="C95" s="144" t="str">
        <f>IFERROR(__xludf.dummyfunction("""COMPUTED_VALUE"""),"SARAH BEATRIZ CORREIA RODRIGUES DA SILVA")</f>
        <v>SARAH BEATRIZ CORREIA RODRIGUES DA SILVA</v>
      </c>
      <c r="D95" s="90" t="str">
        <f>IFERROR(__xludf.dummyfunction("""COMPUTED_VALUE"""),"07/06/2023")</f>
        <v>07/06/2023</v>
      </c>
      <c r="E95" s="90" t="str">
        <f>IFERROR(__xludf.dummyfunction("""COMPUTED_VALUE"""),"185.680.884-06")</f>
        <v>185.680.884-06</v>
      </c>
      <c r="F95" s="90" t="str">
        <f>IFERROR(__xludf.dummyfunction("""COMPUTED_VALUE"""),"INFANTIL 2")</f>
        <v>INFANTIL 2</v>
      </c>
      <c r="G95" s="90" t="str">
        <f>IFERROR(__xludf.dummyfunction("""COMPUTED_VALUE"""),"CEMEI PROFESSORA LINDOMAR DOMINGOS DA SILVA ANJOS")</f>
        <v>CEMEI PROFESSORA LINDOMAR DOMINGOS DA SILVA ANJOS</v>
      </c>
      <c r="H95" s="90" t="str">
        <f>IFERROR(__xludf.dummyfunction("""COMPUTED_VALUE"""),"REGIONAL 5")</f>
        <v>REGIONAL 5</v>
      </c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ht="15.75" customHeight="1" spans="1:26">
      <c r="A96" s="90" t="str">
        <f>IFERROR(__xludf.dummyfunction("""COMPUTED_VALUE"""),"28/01/2026 08:17:19")</f>
        <v>28/01/2026 08:17:19</v>
      </c>
      <c r="B96" s="90" t="str">
        <f>IFERROR(__xludf.dummyfunction("""COMPUTED_VALUE"""),"4")</f>
        <v>4</v>
      </c>
      <c r="C96" s="144" t="str">
        <f>IFERROR(__xludf.dummyfunction("""COMPUTED_VALUE"""),"LAURA MARIAH TEIXEIRA SILVA")</f>
        <v>LAURA MARIAH TEIXEIRA SILVA</v>
      </c>
      <c r="D96" s="90" t="str">
        <f>IFERROR(__xludf.dummyfunction("""COMPUTED_VALUE"""),"18/02/2024")</f>
        <v>18/02/2024</v>
      </c>
      <c r="E96" s="90" t="str">
        <f>IFERROR(__xludf.dummyfunction("""COMPUTED_VALUE"""),"002.969.484-11")</f>
        <v>002.969.484-11</v>
      </c>
      <c r="F96" s="90" t="str">
        <f>IFERROR(__xludf.dummyfunction("""COMPUTED_VALUE"""),"INFANTIL 2")</f>
        <v>INFANTIL 2</v>
      </c>
      <c r="G96" s="90" t="str">
        <f>IFERROR(__xludf.dummyfunction("""COMPUTED_VALUE"""),"CEMEI PROFESSORA LINDOMAR DOMINGOS DA SILVA ANJOS")</f>
        <v>CEMEI PROFESSORA LINDOMAR DOMINGOS DA SILVA ANJOS</v>
      </c>
      <c r="H96" s="90" t="str">
        <f>IFERROR(__xludf.dummyfunction("""COMPUTED_VALUE"""),"REGIONAL 5")</f>
        <v>REGIONAL 5</v>
      </c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ht="15.75" customHeight="1" spans="1:26">
      <c r="A97" s="90" t="str">
        <f>IFERROR(__xludf.dummyfunction("""COMPUTED_VALUE"""),"28/01/2026 08:25:56")</f>
        <v>28/01/2026 08:25:56</v>
      </c>
      <c r="B97" s="90" t="str">
        <f>IFERROR(__xludf.dummyfunction("""COMPUTED_VALUE"""),"5")</f>
        <v>5</v>
      </c>
      <c r="C97" s="144" t="str">
        <f>IFERROR(__xludf.dummyfunction("""COMPUTED_VALUE"""),"MARIA GABRIELA DA SILVA PORFIRIO ALVES")</f>
        <v>MARIA GABRIELA DA SILVA PORFIRIO ALVES</v>
      </c>
      <c r="D97" s="90" t="str">
        <f>IFERROR(__xludf.dummyfunction("""COMPUTED_VALUE"""),"15/05/2023")</f>
        <v>15/05/2023</v>
      </c>
      <c r="E97" s="90" t="str">
        <f>IFERROR(__xludf.dummyfunction("""COMPUTED_VALUE"""),"185.992.474-33")</f>
        <v>185.992.474-33</v>
      </c>
      <c r="F97" s="90" t="str">
        <f>IFERROR(__xludf.dummyfunction("""COMPUTED_VALUE"""),"INFANTIL 2")</f>
        <v>INFANTIL 2</v>
      </c>
      <c r="G97" s="90" t="str">
        <f>IFERROR(__xludf.dummyfunction("""COMPUTED_VALUE"""),"CEMEI PROFESSORA LINDOMAR DOMINGOS DA SILVA ANJOS")</f>
        <v>CEMEI PROFESSORA LINDOMAR DOMINGOS DA SILVA ANJOS</v>
      </c>
      <c r="H97" s="90" t="str">
        <f>IFERROR(__xludf.dummyfunction("""COMPUTED_VALUE"""),"REGIONAL 5")</f>
        <v>REGIONAL 5</v>
      </c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ht="15.75" customHeight="1" spans="1:26">
      <c r="A98" s="90" t="str">
        <f>IFERROR(__xludf.dummyfunction("""COMPUTED_VALUE"""),"28/01/2026 08:25:59")</f>
        <v>28/01/2026 08:25:59</v>
      </c>
      <c r="B98" s="90" t="str">
        <f>IFERROR(__xludf.dummyfunction("""COMPUTED_VALUE"""),"6")</f>
        <v>6</v>
      </c>
      <c r="C98" s="144" t="str">
        <f>IFERROR(__xludf.dummyfunction("""COMPUTED_VALUE"""),"EMILLY BEATRIZ SANTOS")</f>
        <v>EMILLY BEATRIZ SANTOS</v>
      </c>
      <c r="D98" s="90" t="str">
        <f>IFERROR(__xludf.dummyfunction("""COMPUTED_VALUE"""),"12/12/2023")</f>
        <v>12/12/2023</v>
      </c>
      <c r="E98" s="90" t="str">
        <f>IFERROR(__xludf.dummyfunction("""COMPUTED_VALUE"""),"002.613.284-25")</f>
        <v>002.613.284-25</v>
      </c>
      <c r="F98" s="90" t="str">
        <f>IFERROR(__xludf.dummyfunction("""COMPUTED_VALUE"""),"INFANTIL 2")</f>
        <v>INFANTIL 2</v>
      </c>
      <c r="G98" s="90" t="str">
        <f>IFERROR(__xludf.dummyfunction("""COMPUTED_VALUE"""),"CEMEI PROFESSORA LINDOMAR DOMINGOS DA SILVA ANJOS")</f>
        <v>CEMEI PROFESSORA LINDOMAR DOMINGOS DA SILVA ANJOS</v>
      </c>
      <c r="H98" s="90" t="str">
        <f>IFERROR(__xludf.dummyfunction("""COMPUTED_VALUE"""),"REGIONAL 5")</f>
        <v>REGIONAL 5</v>
      </c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ht="15.75" customHeight="1" spans="1:26">
      <c r="A99" s="90" t="str">
        <f>IFERROR(__xludf.dummyfunction("""COMPUTED_VALUE"""),"28/01/2026 08:31:41")</f>
        <v>28/01/2026 08:31:41</v>
      </c>
      <c r="B99" s="90" t="str">
        <f>IFERROR(__xludf.dummyfunction("""COMPUTED_VALUE"""),"7")</f>
        <v>7</v>
      </c>
      <c r="C99" s="144" t="str">
        <f>IFERROR(__xludf.dummyfunction("""COMPUTED_VALUE"""),"LEVY MATHEUS SANTOS LINS")</f>
        <v>LEVY MATHEUS SANTOS LINS</v>
      </c>
      <c r="D99" s="90" t="str">
        <f>IFERROR(__xludf.dummyfunction("""COMPUTED_VALUE"""),"25/01/2024")</f>
        <v>25/01/2024</v>
      </c>
      <c r="E99" s="90" t="str">
        <f>IFERROR(__xludf.dummyfunction("""COMPUTED_VALUE"""),"001.763.444-03")</f>
        <v>001.763.444-03</v>
      </c>
      <c r="F99" s="90" t="str">
        <f>IFERROR(__xludf.dummyfunction("""COMPUTED_VALUE"""),"INFANTIL 2")</f>
        <v>INFANTIL 2</v>
      </c>
      <c r="G99" s="90" t="str">
        <f>IFERROR(__xludf.dummyfunction("""COMPUTED_VALUE"""),"CEMEI PROFESSORA LINDOMAR DOMINGOS DA SILVA ANJOS")</f>
        <v>CEMEI PROFESSORA LINDOMAR DOMINGOS DA SILVA ANJOS</v>
      </c>
      <c r="H99" s="90" t="str">
        <f>IFERROR(__xludf.dummyfunction("""COMPUTED_VALUE"""),"REGIONAL 5")</f>
        <v>REGIONAL 5</v>
      </c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ht="15.75" customHeight="1" spans="1:26">
      <c r="A100" s="90" t="str">
        <f>IFERROR(__xludf.dummyfunction("""COMPUTED_VALUE"""),"28/01/2026 09:00:15")</f>
        <v>28/01/2026 09:00:15</v>
      </c>
      <c r="B100" s="90" t="str">
        <f>IFERROR(__xludf.dummyfunction("""COMPUTED_VALUE"""),"8")</f>
        <v>8</v>
      </c>
      <c r="C100" s="144" t="str">
        <f>IFERROR(__xludf.dummyfunction("""COMPUTED_VALUE"""),"HELLOYSA MARIA CAVALCANTE DE LEMOS")</f>
        <v>HELLOYSA MARIA CAVALCANTE DE LEMOS</v>
      </c>
      <c r="D100" s="90" t="str">
        <f>IFERROR(__xludf.dummyfunction("""COMPUTED_VALUE"""),"21/12/2023")</f>
        <v>21/12/2023</v>
      </c>
      <c r="E100" s="90" t="str">
        <f>IFERROR(__xludf.dummyfunction("""COMPUTED_VALUE"""),"001.593.854-90")</f>
        <v>001.593.854-90</v>
      </c>
      <c r="F100" s="90" t="str">
        <f>IFERROR(__xludf.dummyfunction("""COMPUTED_VALUE"""),"INFANTIL 2")</f>
        <v>INFANTIL 2</v>
      </c>
      <c r="G100" s="90" t="str">
        <f>IFERROR(__xludf.dummyfunction("""COMPUTED_VALUE"""),"CEMEI PROFESSORA LINDOMAR DOMINGOS DA SILVA ANJOS")</f>
        <v>CEMEI PROFESSORA LINDOMAR DOMINGOS DA SILVA ANJOS</v>
      </c>
      <c r="H100" s="90" t="str">
        <f>IFERROR(__xludf.dummyfunction("""COMPUTED_VALUE"""),"REGIONAL 5")</f>
        <v>REGIONAL 5</v>
      </c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ht="15.75" customHeight="1" spans="1:26">
      <c r="A101" s="90" t="str">
        <f>IFERROR(__xludf.dummyfunction("""COMPUTED_VALUE"""),"28/01/2026 09:08:41")</f>
        <v>28/01/2026 09:08:41</v>
      </c>
      <c r="B101" s="90" t="str">
        <f>IFERROR(__xludf.dummyfunction("""COMPUTED_VALUE"""),"9")</f>
        <v>9</v>
      </c>
      <c r="C101" s="144" t="str">
        <f>IFERROR(__xludf.dummyfunction("""COMPUTED_VALUE"""),"THÉO VINÍCIUS DA SILVA FERNANDES")</f>
        <v>THÉO VINÍCIUS DA SILVA FERNANDES</v>
      </c>
      <c r="D101" s="90" t="str">
        <f>IFERROR(__xludf.dummyfunction("""COMPUTED_VALUE"""),"04/08/2023")</f>
        <v>04/08/2023</v>
      </c>
      <c r="E101" s="90" t="str">
        <f>IFERROR(__xludf.dummyfunction("""COMPUTED_VALUE"""),"186.161.124-21")</f>
        <v>186.161.124-21</v>
      </c>
      <c r="F101" s="90" t="str">
        <f>IFERROR(__xludf.dummyfunction("""COMPUTED_VALUE"""),"INFANTIL 2")</f>
        <v>INFANTIL 2</v>
      </c>
      <c r="G101" s="90" t="str">
        <f>IFERROR(__xludf.dummyfunction("""COMPUTED_VALUE"""),"CEMEI PROFESSORA LINDOMAR DOMINGOS DA SILVA ANJOS")</f>
        <v>CEMEI PROFESSORA LINDOMAR DOMINGOS DA SILVA ANJOS</v>
      </c>
      <c r="H101" s="90" t="str">
        <f>IFERROR(__xludf.dummyfunction("""COMPUTED_VALUE"""),"REGIONAL 5")</f>
        <v>REGIONAL 5</v>
      </c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ht="15.75" customHeight="1" spans="1:26">
      <c r="A102" s="90" t="str">
        <f>IFERROR(__xludf.dummyfunction("""COMPUTED_VALUE"""),"28/01/2026 09:29:37")</f>
        <v>28/01/2026 09:29:37</v>
      </c>
      <c r="B102" s="90" t="str">
        <f>IFERROR(__xludf.dummyfunction("""COMPUTED_VALUE"""),"10")</f>
        <v>10</v>
      </c>
      <c r="C102" s="144" t="str">
        <f>IFERROR(__xludf.dummyfunction("""COMPUTED_VALUE"""),"MAITÊ FERNANDA DA SILVA")</f>
        <v>MAITÊ FERNANDA DA SILVA</v>
      </c>
      <c r="D102" s="90" t="str">
        <f>IFERROR(__xludf.dummyfunction("""COMPUTED_VALUE"""),"30/12/2023")</f>
        <v>30/12/2023</v>
      </c>
      <c r="E102" s="90" t="str">
        <f>IFERROR(__xludf.dummyfunction("""COMPUTED_VALUE"""),"001.588.084-28")</f>
        <v>001.588.084-28</v>
      </c>
      <c r="F102" s="90" t="str">
        <f>IFERROR(__xludf.dummyfunction("""COMPUTED_VALUE"""),"INFANTIL 2")</f>
        <v>INFANTIL 2</v>
      </c>
      <c r="G102" s="90" t="str">
        <f>IFERROR(__xludf.dummyfunction("""COMPUTED_VALUE"""),"CEMEI PROFESSORA LINDOMAR DOMINGOS DA SILVA ANJOS")</f>
        <v>CEMEI PROFESSORA LINDOMAR DOMINGOS DA SILVA ANJOS</v>
      </c>
      <c r="H102" s="90" t="str">
        <f>IFERROR(__xludf.dummyfunction("""COMPUTED_VALUE"""),"REGIONAL 5")</f>
        <v>REGIONAL 5</v>
      </c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ht="15.75" customHeight="1" spans="1:26">
      <c r="A103" s="90" t="str">
        <f>IFERROR(__xludf.dummyfunction("""COMPUTED_VALUE"""),"28/01/2026 10:56:41")</f>
        <v>28/01/2026 10:56:41</v>
      </c>
      <c r="B103" s="90" t="str">
        <f>IFERROR(__xludf.dummyfunction("""COMPUTED_VALUE"""),"11")</f>
        <v>11</v>
      </c>
      <c r="C103" s="144" t="str">
        <f>IFERROR(__xludf.dummyfunction("""COMPUTED_VALUE"""),"YSIS SILVA RAMOS")</f>
        <v>YSIS SILVA RAMOS</v>
      </c>
      <c r="D103" s="90" t="str">
        <f>IFERROR(__xludf.dummyfunction("""COMPUTED_VALUE"""),"11/10/2023")</f>
        <v>11/10/2023</v>
      </c>
      <c r="E103" s="90" t="str">
        <f>IFERROR(__xludf.dummyfunction("""COMPUTED_VALUE"""),"000.422.384-55")</f>
        <v>000.422.384-55</v>
      </c>
      <c r="F103" s="90" t="str">
        <f>IFERROR(__xludf.dummyfunction("""COMPUTED_VALUE"""),"INFANTIL 2")</f>
        <v>INFANTIL 2</v>
      </c>
      <c r="G103" s="90" t="str">
        <f>IFERROR(__xludf.dummyfunction("""COMPUTED_VALUE"""),"CEMEI PROFESSORA LINDOMAR DOMINGOS DA SILVA ANJOS")</f>
        <v>CEMEI PROFESSORA LINDOMAR DOMINGOS DA SILVA ANJOS</v>
      </c>
      <c r="H103" s="90" t="str">
        <f>IFERROR(__xludf.dummyfunction("""COMPUTED_VALUE"""),"REGIONAL 5")</f>
        <v>REGIONAL 5</v>
      </c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ht="15.75" customHeight="1" spans="1:26">
      <c r="A104" s="90" t="str">
        <f>IFERROR(__xludf.dummyfunction("""COMPUTED_VALUE"""),"28/01/2026 11:08:50")</f>
        <v>28/01/2026 11:08:50</v>
      </c>
      <c r="B104" s="90" t="str">
        <f>IFERROR(__xludf.dummyfunction("""COMPUTED_VALUE"""),"12")</f>
        <v>12</v>
      </c>
      <c r="C104" s="144" t="str">
        <f>IFERROR(__xludf.dummyfunction("""COMPUTED_VALUE"""),"AINOANA VITÓRIA")</f>
        <v>AINOANA VITÓRIA</v>
      </c>
      <c r="D104" s="90" t="str">
        <f>IFERROR(__xludf.dummyfunction("""COMPUTED_VALUE"""),"28/07/2023")</f>
        <v>28/07/2023</v>
      </c>
      <c r="E104" s="90" t="str">
        <f>IFERROR(__xludf.dummyfunction("""COMPUTED_VALUE"""),"157.026.924-62")</f>
        <v>157.026.924-62</v>
      </c>
      <c r="F104" s="90" t="str">
        <f>IFERROR(__xludf.dummyfunction("""COMPUTED_VALUE"""),"INFANTIL 2")</f>
        <v>INFANTIL 2</v>
      </c>
      <c r="G104" s="90" t="str">
        <f>IFERROR(__xludf.dummyfunction("""COMPUTED_VALUE"""),"CEMEI PROFESSORA LINDOMAR DOMINGOS DA SILVA ANJOS")</f>
        <v>CEMEI PROFESSORA LINDOMAR DOMINGOS DA SILVA ANJOS</v>
      </c>
      <c r="H104" s="90" t="str">
        <f>IFERROR(__xludf.dummyfunction("""COMPUTED_VALUE"""),"REGIONAL 5")</f>
        <v>REGIONAL 5</v>
      </c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ht="15.75" customHeight="1" spans="1:26">
      <c r="A105" s="90" t="str">
        <f>IFERROR(__xludf.dummyfunction("""COMPUTED_VALUE"""),"28/01/2026 12:27:56")</f>
        <v>28/01/2026 12:27:56</v>
      </c>
      <c r="B105" s="90" t="str">
        <f>IFERROR(__xludf.dummyfunction("""COMPUTED_VALUE"""),"13")</f>
        <v>13</v>
      </c>
      <c r="C105" s="144" t="str">
        <f>IFERROR(__xludf.dummyfunction("""COMPUTED_VALUE"""),"MANASSÉS MESSIAS DOS SANTOS COSTA")</f>
        <v>MANASSÉS MESSIAS DOS SANTOS COSTA</v>
      </c>
      <c r="D105" s="90" t="str">
        <f>IFERROR(__xludf.dummyfunction("""COMPUTED_VALUE"""),"10/06/2023")</f>
        <v>10/06/2023</v>
      </c>
      <c r="E105" s="90" t="str">
        <f>IFERROR(__xludf.dummyfunction("""COMPUTED_VALUE"""),"185.866.824-70")</f>
        <v>185.866.824-70</v>
      </c>
      <c r="F105" s="90" t="str">
        <f>IFERROR(__xludf.dummyfunction("""COMPUTED_VALUE"""),"INFANTIL 2")</f>
        <v>INFANTIL 2</v>
      </c>
      <c r="G105" s="90" t="str">
        <f>IFERROR(__xludf.dummyfunction("""COMPUTED_VALUE"""),"CEMEI PROFESSORA LINDOMAR DOMINGOS DA SILVA ANJOS")</f>
        <v>CEMEI PROFESSORA LINDOMAR DOMINGOS DA SILVA ANJOS</v>
      </c>
      <c r="H105" s="90" t="str">
        <f>IFERROR(__xludf.dummyfunction("""COMPUTED_VALUE"""),"REGIONAL 5")</f>
        <v>REGIONAL 5</v>
      </c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ht="15.75" customHeight="1" spans="1:26">
      <c r="A106" s="90" t="str">
        <f>IFERROR(__xludf.dummyfunction("""COMPUTED_VALUE"""),"29/01/2026 09:34:00")</f>
        <v>29/01/2026 09:34:00</v>
      </c>
      <c r="B106" s="90" t="str">
        <f>IFERROR(__xludf.dummyfunction("""COMPUTED_VALUE"""),"14")</f>
        <v>14</v>
      </c>
      <c r="C106" s="144" t="str">
        <f>IFERROR(__xludf.dummyfunction("""COMPUTED_VALUE"""),"LARA SOPHIA OLIVEIRA DE ALMEIDA")</f>
        <v>LARA SOPHIA OLIVEIRA DE ALMEIDA</v>
      </c>
      <c r="D106" s="90" t="str">
        <f>IFERROR(__xludf.dummyfunction("""COMPUTED_VALUE"""),"13/12/2023")</f>
        <v>13/12/2023</v>
      </c>
      <c r="E106" s="90" t="str">
        <f>IFERROR(__xludf.dummyfunction("""COMPUTED_VALUE"""),"002.991.064-11")</f>
        <v>002.991.064-11</v>
      </c>
      <c r="F106" s="90" t="str">
        <f>IFERROR(__xludf.dummyfunction("""COMPUTED_VALUE"""),"INFANTIL 2")</f>
        <v>INFANTIL 2</v>
      </c>
      <c r="G106" s="90" t="str">
        <f>IFERROR(__xludf.dummyfunction("""COMPUTED_VALUE"""),"CEMEI PROFESSORA LINDOMAR DOMINGOS DA SILVA ANJOS")</f>
        <v>CEMEI PROFESSORA LINDOMAR DOMINGOS DA SILVA ANJOS</v>
      </c>
      <c r="H106" s="90" t="str">
        <f>IFERROR(__xludf.dummyfunction("""COMPUTED_VALUE"""),"REGIONAL 5")</f>
        <v>REGIONAL 5</v>
      </c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ht="15.75" customHeight="1" spans="1:26">
      <c r="A107" s="90" t="str">
        <f>IFERROR(__xludf.dummyfunction("""COMPUTED_VALUE"""),"29/01/2026 19:07:33")</f>
        <v>29/01/2026 19:07:33</v>
      </c>
      <c r="B107" s="90" t="str">
        <f>IFERROR(__xludf.dummyfunction("""COMPUTED_VALUE"""),"15")</f>
        <v>15</v>
      </c>
      <c r="C107" s="144" t="str">
        <f>IFERROR(__xludf.dummyfunction("""COMPUTED_VALUE"""),"JOÃO PEDRO AIRES DE SOUZA")</f>
        <v>JOÃO PEDRO AIRES DE SOUZA</v>
      </c>
      <c r="D107" s="90" t="str">
        <f>IFERROR(__xludf.dummyfunction("""COMPUTED_VALUE"""),"13/05/2023")</f>
        <v>13/05/2023</v>
      </c>
      <c r="E107" s="90" t="str">
        <f>IFERROR(__xludf.dummyfunction("""COMPUTED_VALUE"""),"185.347.964-08")</f>
        <v>185.347.964-08</v>
      </c>
      <c r="F107" s="90" t="str">
        <f>IFERROR(__xludf.dummyfunction("""COMPUTED_VALUE"""),"INFANTIL 2")</f>
        <v>INFANTIL 2</v>
      </c>
      <c r="G107" s="90" t="str">
        <f>IFERROR(__xludf.dummyfunction("""COMPUTED_VALUE"""),"CEMEI PROFESSORA LINDOMAR DOMINGOS DA SILVA ANJOS")</f>
        <v>CEMEI PROFESSORA LINDOMAR DOMINGOS DA SILVA ANJOS</v>
      </c>
      <c r="H107" s="90" t="str">
        <f>IFERROR(__xludf.dummyfunction("""COMPUTED_VALUE"""),"REGIONAL 5")</f>
        <v>REGIONAL 5</v>
      </c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ht="15.75" customHeight="1" spans="1:26">
      <c r="A108" s="90" t="str">
        <f>IFERROR(__xludf.dummyfunction("""COMPUTED_VALUE"""),"03/02/2026 12:10:55")</f>
        <v>03/02/2026 12:10:55</v>
      </c>
      <c r="B108" s="90" t="str">
        <f>IFERROR(__xludf.dummyfunction("""COMPUTED_VALUE"""),"16")</f>
        <v>16</v>
      </c>
      <c r="C108" s="144" t="str">
        <f>IFERROR(__xludf.dummyfunction("""COMPUTED_VALUE"""),"ELIAS BENJAMIN MIGUEL FERREIRA NACIMENTO")</f>
        <v>ELIAS BENJAMIN MIGUEL FERREIRA NACIMENTO</v>
      </c>
      <c r="D108" s="90" t="str">
        <f>IFERROR(__xludf.dummyfunction("""COMPUTED_VALUE"""),"11/11/2023")</f>
        <v>11/11/2023</v>
      </c>
      <c r="E108" s="90" t="str">
        <f>IFERROR(__xludf.dummyfunction("""COMPUTED_VALUE"""),"001.108.114-70")</f>
        <v>001.108.114-70</v>
      </c>
      <c r="F108" s="90" t="str">
        <f>IFERROR(__xludf.dummyfunction("""COMPUTED_VALUE"""),"INFANTIL 2")</f>
        <v>INFANTIL 2</v>
      </c>
      <c r="G108" s="90" t="str">
        <f>IFERROR(__xludf.dummyfunction("""COMPUTED_VALUE"""),"CEMEI PROFESSORA LINDOMAR DOMINGOS DA SILVA ANJOS")</f>
        <v>CEMEI PROFESSORA LINDOMAR DOMINGOS DA SILVA ANJOS</v>
      </c>
      <c r="H108" s="90" t="str">
        <f>IFERROR(__xludf.dummyfunction("""COMPUTED_VALUE"""),"REGIONAL 5")</f>
        <v>REGIONAL 5</v>
      </c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ht="15.75" customHeight="1" spans="1:26">
      <c r="A109" s="90" t="str">
        <f>IFERROR(__xludf.dummyfunction("""COMPUTED_VALUE"""),"03/02/2026 19:19:03")</f>
        <v>03/02/2026 19:19:03</v>
      </c>
      <c r="B109" s="90" t="str">
        <f>IFERROR(__xludf.dummyfunction("""COMPUTED_VALUE"""),"17")</f>
        <v>17</v>
      </c>
      <c r="C109" s="144" t="str">
        <f>IFERROR(__xludf.dummyfunction("""COMPUTED_VALUE"""),"AYLLA ELOÁ VITÓRIA DA SILVA")</f>
        <v>AYLLA ELOÁ VITÓRIA DA SILVA</v>
      </c>
      <c r="D109" s="90" t="str">
        <f>IFERROR(__xludf.dummyfunction("""COMPUTED_VALUE"""),"22/06/2023")</f>
        <v>22/06/2023</v>
      </c>
      <c r="E109" s="90" t="str">
        <f>IFERROR(__xludf.dummyfunction("""COMPUTED_VALUE"""),"185.751.114-00")</f>
        <v>185.751.114-00</v>
      </c>
      <c r="F109" s="90" t="str">
        <f>IFERROR(__xludf.dummyfunction("""COMPUTED_VALUE"""),"INFANTIL 2")</f>
        <v>INFANTIL 2</v>
      </c>
      <c r="G109" s="90" t="str">
        <f>IFERROR(__xludf.dummyfunction("""COMPUTED_VALUE"""),"CEMEI PROFESSORA LINDOMAR DOMINGOS DA SILVA ANJOS")</f>
        <v>CEMEI PROFESSORA LINDOMAR DOMINGOS DA SILVA ANJOS</v>
      </c>
      <c r="H109" s="90" t="str">
        <f>IFERROR(__xludf.dummyfunction("""COMPUTED_VALUE"""),"REGIONAL 5")</f>
        <v>REGIONAL 5</v>
      </c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ht="15.75" customHeight="1" spans="1:26">
      <c r="A110" s="90" t="str">
        <f>IFERROR(__xludf.dummyfunction("""COMPUTED_VALUE"""),"04/02/2026 09:54:58")</f>
        <v>04/02/2026 09:54:58</v>
      </c>
      <c r="B110" s="90" t="str">
        <f>IFERROR(__xludf.dummyfunction("""COMPUTED_VALUE"""),"18")</f>
        <v>18</v>
      </c>
      <c r="C110" s="144" t="str">
        <f>IFERROR(__xludf.dummyfunction("""COMPUTED_VALUE"""),"ANTHONY MIGUEL MEDEIROS DE LIMA")</f>
        <v>ANTHONY MIGUEL MEDEIROS DE LIMA</v>
      </c>
      <c r="D110" s="90" t="str">
        <f>IFERROR(__xludf.dummyfunction("""COMPUTED_VALUE"""),"11/07/2023")</f>
        <v>11/07/2023</v>
      </c>
      <c r="E110" s="90" t="str">
        <f>IFERROR(__xludf.dummyfunction("""COMPUTED_VALUE"""),"186.252.964-75")</f>
        <v>186.252.964-75</v>
      </c>
      <c r="F110" s="90" t="str">
        <f>IFERROR(__xludf.dummyfunction("""COMPUTED_VALUE"""),"INFANTIL 2")</f>
        <v>INFANTIL 2</v>
      </c>
      <c r="G110" s="90" t="str">
        <f>IFERROR(__xludf.dummyfunction("""COMPUTED_VALUE"""),"CEMEI PROFESSORA LINDOMAR DOMINGOS DA SILVA ANJOS")</f>
        <v>CEMEI PROFESSORA LINDOMAR DOMINGOS DA SILVA ANJOS</v>
      </c>
      <c r="H110" s="90" t="str">
        <f>IFERROR(__xludf.dummyfunction("""COMPUTED_VALUE"""),"REGIONAL 5")</f>
        <v>REGIONAL 5</v>
      </c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ht="15.75" customHeight="1" spans="1:26">
      <c r="A111" s="90" t="str">
        <f>IFERROR(__xludf.dummyfunction("""COMPUTED_VALUE"""),"04/02/2026 12:41:36")</f>
        <v>04/02/2026 12:41:36</v>
      </c>
      <c r="B111" s="90" t="str">
        <f>IFERROR(__xludf.dummyfunction("""COMPUTED_VALUE"""),"19")</f>
        <v>19</v>
      </c>
      <c r="C111" s="144" t="str">
        <f>IFERROR(__xludf.dummyfunction("""COMPUTED_VALUE"""),"ISAAC RAFAEL DA SILVA")</f>
        <v>ISAAC RAFAEL DA SILVA</v>
      </c>
      <c r="D111" s="90" t="str">
        <f>IFERROR(__xludf.dummyfunction("""COMPUTED_VALUE"""),"17/04/2023")</f>
        <v>17/04/2023</v>
      </c>
      <c r="E111" s="90" t="str">
        <f>IFERROR(__xludf.dummyfunction("""COMPUTED_VALUE"""),"185.156.394-67")</f>
        <v>185.156.394-67</v>
      </c>
      <c r="F111" s="90" t="str">
        <f>IFERROR(__xludf.dummyfunction("""COMPUTED_VALUE"""),"INFANTIL 2")</f>
        <v>INFANTIL 2</v>
      </c>
      <c r="G111" s="90" t="str">
        <f>IFERROR(__xludf.dummyfunction("""COMPUTED_VALUE"""),"CEMEI PROFESSORA LINDOMAR DOMINGOS DA SILVA ANJOS")</f>
        <v>CEMEI PROFESSORA LINDOMAR DOMINGOS DA SILVA ANJOS</v>
      </c>
      <c r="H111" s="90" t="str">
        <f>IFERROR(__xludf.dummyfunction("""COMPUTED_VALUE"""),"REGIONAL 5")</f>
        <v>REGIONAL 5</v>
      </c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ht="15.75" customHeight="1" spans="1:26">
      <c r="A112" s="90" t="str">
        <f>IFERROR(__xludf.dummyfunction("""COMPUTED_VALUE"""),"04/02/2026 15:23:58")</f>
        <v>04/02/2026 15:23:58</v>
      </c>
      <c r="B112" s="90" t="str">
        <f>IFERROR(__xludf.dummyfunction("""COMPUTED_VALUE"""),"20")</f>
        <v>20</v>
      </c>
      <c r="C112" s="144" t="str">
        <f>IFERROR(__xludf.dummyfunction("""COMPUTED_VALUE"""),"CALEB RAFAEL LOPES DOS SANTOS")</f>
        <v>CALEB RAFAEL LOPES DOS SANTOS</v>
      </c>
      <c r="D112" s="90" t="str">
        <f>IFERROR(__xludf.dummyfunction("""COMPUTED_VALUE"""),"05/06/2023")</f>
        <v>05/06/2023</v>
      </c>
      <c r="E112" s="90" t="str">
        <f>IFERROR(__xludf.dummyfunction("""COMPUTED_VALUE"""),"185.570.964-37")</f>
        <v>185.570.964-37</v>
      </c>
      <c r="F112" s="90" t="str">
        <f>IFERROR(__xludf.dummyfunction("""COMPUTED_VALUE"""),"INFANTIL 2")</f>
        <v>INFANTIL 2</v>
      </c>
      <c r="G112" s="90" t="str">
        <f>IFERROR(__xludf.dummyfunction("""COMPUTED_VALUE"""),"CEMEI PROFESSORA LINDOMAR DOMINGOS DA SILVA ANJOS")</f>
        <v>CEMEI PROFESSORA LINDOMAR DOMINGOS DA SILVA ANJOS</v>
      </c>
      <c r="H112" s="90" t="str">
        <f>IFERROR(__xludf.dummyfunction("""COMPUTED_VALUE"""),"REGIONAL 5")</f>
        <v>REGIONAL 5</v>
      </c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ht="15.75" customHeight="1" spans="1:26">
      <c r="A113" s="90" t="str">
        <f>IFERROR(__xludf.dummyfunction("""COMPUTED_VALUE"""),"05/02/2026 16:07:06")</f>
        <v>05/02/2026 16:07:06</v>
      </c>
      <c r="B113" s="90" t="str">
        <f>IFERROR(__xludf.dummyfunction("""COMPUTED_VALUE"""),"21")</f>
        <v>21</v>
      </c>
      <c r="C113" s="144" t="str">
        <f>IFERROR(__xludf.dummyfunction("""COMPUTED_VALUE"""),"CLARISSE RENATA MIGUEL AZEVEDO DE ALMEIDA")</f>
        <v>CLARISSE RENATA MIGUEL AZEVEDO DE ALMEIDA</v>
      </c>
      <c r="D113" s="90" t="str">
        <f>IFERROR(__xludf.dummyfunction("""COMPUTED_VALUE"""),"11/08/2023")</f>
        <v>11/08/2023</v>
      </c>
      <c r="E113" s="90" t="str">
        <f>IFERROR(__xludf.dummyfunction("""COMPUTED_VALUE"""),"186.226.954-84")</f>
        <v>186.226.954-84</v>
      </c>
      <c r="F113" s="90" t="str">
        <f>IFERROR(__xludf.dummyfunction("""COMPUTED_VALUE"""),"INFANTIL 2")</f>
        <v>INFANTIL 2</v>
      </c>
      <c r="G113" s="90" t="str">
        <f>IFERROR(__xludf.dummyfunction("""COMPUTED_VALUE"""),"CEMEI PROFESSORA LINDOMAR DOMINGOS DA SILVA ANJOS")</f>
        <v>CEMEI PROFESSORA LINDOMAR DOMINGOS DA SILVA ANJOS</v>
      </c>
      <c r="H113" s="90" t="str">
        <f>IFERROR(__xludf.dummyfunction("""COMPUTED_VALUE"""),"REGIONAL 5")</f>
        <v>REGIONAL 5</v>
      </c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ht="15.75" customHeight="1" spans="1:26">
      <c r="A114" s="90" t="str">
        <f>IFERROR(__xludf.dummyfunction("""COMPUTED_VALUE"""),"09/02/2026 09:40:47")</f>
        <v>09/02/2026 09:40:47</v>
      </c>
      <c r="B114" s="90" t="str">
        <f>IFERROR(__xludf.dummyfunction("""COMPUTED_VALUE"""),"22")</f>
        <v>22</v>
      </c>
      <c r="C114" s="144" t="str">
        <f>IFERROR(__xludf.dummyfunction("""COMPUTED_VALUE"""),"MARIA CECÍLIA DA SILVA")</f>
        <v>MARIA CECÍLIA DA SILVA</v>
      </c>
      <c r="D114" s="90" t="str">
        <f>IFERROR(__xludf.dummyfunction("""COMPUTED_VALUE"""),"26/01/2024")</f>
        <v>26/01/2024</v>
      </c>
      <c r="E114" s="90" t="str">
        <f>IFERROR(__xludf.dummyfunction("""COMPUTED_VALUE"""),"001.740.454-17")</f>
        <v>001.740.454-17</v>
      </c>
      <c r="F114" s="90" t="str">
        <f>IFERROR(__xludf.dummyfunction("""COMPUTED_VALUE"""),"INFANTIL 2")</f>
        <v>INFANTIL 2</v>
      </c>
      <c r="G114" s="90" t="str">
        <f>IFERROR(__xludf.dummyfunction("""COMPUTED_VALUE"""),"CEMEI PROFESSORA LINDOMAR DOMINGOS DA SILVA ANJOS")</f>
        <v>CEMEI PROFESSORA LINDOMAR DOMINGOS DA SILVA ANJOS</v>
      </c>
      <c r="H114" s="90" t="str">
        <f>IFERROR(__xludf.dummyfunction("""COMPUTED_VALUE"""),"REGIONAL 5")</f>
        <v>REGIONAL 5</v>
      </c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ht="15.75" customHeight="1" spans="1:26">
      <c r="A115" s="90" t="str">
        <f>IFERROR(__xludf.dummyfunction("""COMPUTED_VALUE"""),"10/02/2026 07:55:39")</f>
        <v>10/02/2026 07:55:39</v>
      </c>
      <c r="B115" s="90" t="str">
        <f>IFERROR(__xludf.dummyfunction("""COMPUTED_VALUE"""),"23")</f>
        <v>23</v>
      </c>
      <c r="C115" s="144" t="str">
        <f>IFERROR(__xludf.dummyfunction("""COMPUTED_VALUE"""),"MIGUEL BARRETO GOMES")</f>
        <v>MIGUEL BARRETO GOMES</v>
      </c>
      <c r="D115" s="90" t="str">
        <f>IFERROR(__xludf.dummyfunction("""COMPUTED_VALUE"""),"07/12/2023")</f>
        <v>07/12/2023</v>
      </c>
      <c r="E115" s="90" t="str">
        <f>IFERROR(__xludf.dummyfunction("""COMPUTED_VALUE"""),"001.204.304-44")</f>
        <v>001.204.304-44</v>
      </c>
      <c r="F115" s="90" t="str">
        <f>IFERROR(__xludf.dummyfunction("""COMPUTED_VALUE"""),"INFANTIL 2")</f>
        <v>INFANTIL 2</v>
      </c>
      <c r="G115" s="90" t="str">
        <f>IFERROR(__xludf.dummyfunction("""COMPUTED_VALUE"""),"CEMEI PROFESSORA LINDOMAR DOMINGOS DA SILVA ANJOS")</f>
        <v>CEMEI PROFESSORA LINDOMAR DOMINGOS DA SILVA ANJOS</v>
      </c>
      <c r="H115" s="90" t="str">
        <f>IFERROR(__xludf.dummyfunction("""COMPUTED_VALUE"""),"REGIONAL 5")</f>
        <v>REGIONAL 5</v>
      </c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ht="15.75" customHeight="1" spans="1:26">
      <c r="A116" s="90" t="str">
        <f>IFERROR(__xludf.dummyfunction("""COMPUTED_VALUE"""),"10/02/2026 08:09:08")</f>
        <v>10/02/2026 08:09:08</v>
      </c>
      <c r="B116" s="90" t="str">
        <f>IFERROR(__xludf.dummyfunction("""COMPUTED_VALUE"""),"24")</f>
        <v>24</v>
      </c>
      <c r="C116" s="144" t="str">
        <f>IFERROR(__xludf.dummyfunction("""COMPUTED_VALUE"""),"GAEL LEVI MARQUES DE LIMA")</f>
        <v>GAEL LEVI MARQUES DE LIMA</v>
      </c>
      <c r="D116" s="90" t="str">
        <f>IFERROR(__xludf.dummyfunction("""COMPUTED_VALUE"""),"08/06/2023")</f>
        <v>08/06/2023</v>
      </c>
      <c r="E116" s="90" t="str">
        <f>IFERROR(__xludf.dummyfunction("""COMPUTED_VALUE"""),"185.616.944-83")</f>
        <v>185.616.944-83</v>
      </c>
      <c r="F116" s="90" t="str">
        <f>IFERROR(__xludf.dummyfunction("""COMPUTED_VALUE"""),"INFANTIL 2")</f>
        <v>INFANTIL 2</v>
      </c>
      <c r="G116" s="90" t="str">
        <f>IFERROR(__xludf.dummyfunction("""COMPUTED_VALUE"""),"CEMEI PROFESSORA LINDOMAR DOMINGOS DA SILVA ANJOS")</f>
        <v>CEMEI PROFESSORA LINDOMAR DOMINGOS DA SILVA ANJOS</v>
      </c>
      <c r="H116" s="90" t="str">
        <f>IFERROR(__xludf.dummyfunction("""COMPUTED_VALUE"""),"REGIONAL 5")</f>
        <v>REGIONAL 5</v>
      </c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ht="15.75" customHeight="1" spans="1:26">
      <c r="A117" s="90" t="str">
        <f>IFERROR(__xludf.dummyfunction("""COMPUTED_VALUE"""),"10/02/2026 11:18:19")</f>
        <v>10/02/2026 11:18:19</v>
      </c>
      <c r="B117" s="90" t="str">
        <f>IFERROR(__xludf.dummyfunction("""COMPUTED_VALUE"""),"25")</f>
        <v>25</v>
      </c>
      <c r="C117" s="144" t="str">
        <f>IFERROR(__xludf.dummyfunction("""COMPUTED_VALUE"""),"JAERLLYSON JOSUE ANDRADE DA SILVA")</f>
        <v>JAERLLYSON JOSUE ANDRADE DA SILVA</v>
      </c>
      <c r="D117" s="90" t="str">
        <f>IFERROR(__xludf.dummyfunction("""COMPUTED_VALUE"""),"05/07/2023")</f>
        <v>05/07/2023</v>
      </c>
      <c r="E117" s="90" t="str">
        <f>IFERROR(__xludf.dummyfunction("""COMPUTED_VALUE"""),"185.899.144-70")</f>
        <v>185.899.144-70</v>
      </c>
      <c r="F117" s="90" t="str">
        <f>IFERROR(__xludf.dummyfunction("""COMPUTED_VALUE"""),"INFANTIL 2")</f>
        <v>INFANTIL 2</v>
      </c>
      <c r="G117" s="90" t="str">
        <f>IFERROR(__xludf.dummyfunction("""COMPUTED_VALUE"""),"CEMEI PROFESSORA LINDOMAR DOMINGOS DA SILVA ANJOS")</f>
        <v>CEMEI PROFESSORA LINDOMAR DOMINGOS DA SILVA ANJOS</v>
      </c>
      <c r="H117" s="90" t="str">
        <f>IFERROR(__xludf.dummyfunction("""COMPUTED_VALUE"""),"REGIONAL 5")</f>
        <v>REGIONAL 5</v>
      </c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ht="15.75" customHeight="1" spans="1:26">
      <c r="A118" s="90" t="str">
        <f>IFERROR(__xludf.dummyfunction("""COMPUTED_VALUE"""),"11/02/2026 13:53:52")</f>
        <v>11/02/2026 13:53:52</v>
      </c>
      <c r="B118" s="90" t="str">
        <f>IFERROR(__xludf.dummyfunction("""COMPUTED_VALUE"""),"26")</f>
        <v>26</v>
      </c>
      <c r="C118" s="144" t="str">
        <f>IFERROR(__xludf.dummyfunction("""COMPUTED_VALUE"""),"YARA MELISSA VALENTINA DA SILVA NEVES")</f>
        <v>YARA MELISSA VALENTINA DA SILVA NEVES</v>
      </c>
      <c r="D118" s="90" t="str">
        <f>IFERROR(__xludf.dummyfunction("""COMPUTED_VALUE"""),"10/11/2023")</f>
        <v>10/11/2023</v>
      </c>
      <c r="E118" s="90" t="str">
        <f>IFERROR(__xludf.dummyfunction("""COMPUTED_VALUE"""),"000.986.854-22")</f>
        <v>000.986.854-22</v>
      </c>
      <c r="F118" s="90" t="str">
        <f>IFERROR(__xludf.dummyfunction("""COMPUTED_VALUE"""),"INFANTIL 2")</f>
        <v>INFANTIL 2</v>
      </c>
      <c r="G118" s="90" t="str">
        <f>IFERROR(__xludf.dummyfunction("""COMPUTED_VALUE"""),"CEMEI PROFESSORA LINDOMAR DOMINGOS DA SILVA ANJOS")</f>
        <v>CEMEI PROFESSORA LINDOMAR DOMINGOS DA SILVA ANJOS</v>
      </c>
      <c r="H118" s="90" t="str">
        <f>IFERROR(__xludf.dummyfunction("""COMPUTED_VALUE"""),"REGIONAL 5")</f>
        <v>REGIONAL 5</v>
      </c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ht="15.75" customHeight="1" spans="1:26">
      <c r="A119" s="90" t="str">
        <f>IFERROR(__xludf.dummyfunction("""COMPUTED_VALUE"""),"19/02/2026 09:30:52")</f>
        <v>19/02/2026 09:30:52</v>
      </c>
      <c r="B119" s="90" t="str">
        <f>IFERROR(__xludf.dummyfunction("""COMPUTED_VALUE"""),"27")</f>
        <v>27</v>
      </c>
      <c r="C119" s="144" t="str">
        <f>IFERROR(__xludf.dummyfunction("""COMPUTED_VALUE"""),"BEN DE SOUZA FRANCISCO")</f>
        <v>BEN DE SOUZA FRANCISCO</v>
      </c>
      <c r="D119" s="90" t="str">
        <f>IFERROR(__xludf.dummyfunction("""COMPUTED_VALUE"""),"25/04/2023")</f>
        <v>25/04/2023</v>
      </c>
      <c r="E119" s="90" t="str">
        <f>IFERROR(__xludf.dummyfunction("""COMPUTED_VALUE"""),"185.296.954-70")</f>
        <v>185.296.954-70</v>
      </c>
      <c r="F119" s="90" t="str">
        <f>IFERROR(__xludf.dummyfunction("""COMPUTED_VALUE"""),"INFANTIL 2")</f>
        <v>INFANTIL 2</v>
      </c>
      <c r="G119" s="90" t="str">
        <f>IFERROR(__xludf.dummyfunction("""COMPUTED_VALUE"""),"CEMEI PROFESSORA LINDOMAR DOMINGOS DA SILVA ANJOS")</f>
        <v>CEMEI PROFESSORA LINDOMAR DOMINGOS DA SILVA ANJOS</v>
      </c>
      <c r="H119" s="90" t="str">
        <f>IFERROR(__xludf.dummyfunction("""COMPUTED_VALUE"""),"REGIONAL 5")</f>
        <v>REGIONAL 5</v>
      </c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ht="15.75" customHeight="1" spans="1:26">
      <c r="A120" s="90" t="str">
        <f>IFERROR(__xludf.dummyfunction("""COMPUTED_VALUE"""),"03/03/2026 12:02:06")</f>
        <v>03/03/2026 12:02:06</v>
      </c>
      <c r="B120" s="90" t="str">
        <f>IFERROR(__xludf.dummyfunction("""COMPUTED_VALUE"""),"28")</f>
        <v>28</v>
      </c>
      <c r="C120" s="144" t="str">
        <f>IFERROR(__xludf.dummyfunction("""COMPUTED_VALUE"""),"HEITOR BEZERRA DA SILVA")</f>
        <v>HEITOR BEZERRA DA SILVA</v>
      </c>
      <c r="D120" s="90" t="str">
        <f>IFERROR(__xludf.dummyfunction("""COMPUTED_VALUE"""),"27/06/2023")</f>
        <v>27/06/2023</v>
      </c>
      <c r="E120" s="90" t="str">
        <f>IFERROR(__xludf.dummyfunction("""COMPUTED_VALUE"""),"185.815.174-04")</f>
        <v>185.815.174-04</v>
      </c>
      <c r="F120" s="90" t="str">
        <f>IFERROR(__xludf.dummyfunction("""COMPUTED_VALUE"""),"INFANTIL 2")</f>
        <v>INFANTIL 2</v>
      </c>
      <c r="G120" s="90" t="str">
        <f>IFERROR(__xludf.dummyfunction("""COMPUTED_VALUE"""),"CEMEI PROFESSORA LINDOMAR DOMINGOS DA SILVA ANJOS")</f>
        <v>CEMEI PROFESSORA LINDOMAR DOMINGOS DA SILVA ANJOS</v>
      </c>
      <c r="H120" s="90" t="str">
        <f>IFERROR(__xludf.dummyfunction("""COMPUTED_VALUE"""),"REGIONAL 5")</f>
        <v>REGIONAL 5</v>
      </c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ht="15.75" customHeight="1" spans="1:26">
      <c r="A121" s="90" t="str">
        <f>IFERROR(__xludf.dummyfunction("""COMPUTED_VALUE"""),"04/03/2026 07:55:35")</f>
        <v>04/03/2026 07:55:35</v>
      </c>
      <c r="B121" s="90" t="str">
        <f>IFERROR(__xludf.dummyfunction("""COMPUTED_VALUE"""),"29")</f>
        <v>29</v>
      </c>
      <c r="C121" s="144" t="str">
        <f>IFERROR(__xludf.dummyfunction("""COMPUTED_VALUE"""),"ANTHONY GABRIEL PEREIRA DA SILVA")</f>
        <v>ANTHONY GABRIEL PEREIRA DA SILVA</v>
      </c>
      <c r="D121" s="90" t="str">
        <f>IFERROR(__xludf.dummyfunction("""COMPUTED_VALUE"""),"16/11/2023")</f>
        <v>16/11/2023</v>
      </c>
      <c r="E121" s="90" t="str">
        <f>IFERROR(__xludf.dummyfunction("""COMPUTED_VALUE"""),"001.086.874-73")</f>
        <v>001.086.874-73</v>
      </c>
      <c r="F121" s="90" t="str">
        <f>IFERROR(__xludf.dummyfunction("""COMPUTED_VALUE"""),"INFANTIL 2")</f>
        <v>INFANTIL 2</v>
      </c>
      <c r="G121" s="90" t="str">
        <f>IFERROR(__xludf.dummyfunction("""COMPUTED_VALUE"""),"CEMEI PROFESSORA LINDOMAR DOMINGOS DA SILVA ANJOS")</f>
        <v>CEMEI PROFESSORA LINDOMAR DOMINGOS DA SILVA ANJOS</v>
      </c>
      <c r="H121" s="90" t="str">
        <f>IFERROR(__xludf.dummyfunction("""COMPUTED_VALUE"""),"REGIONAL 5")</f>
        <v>REGIONAL 5</v>
      </c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ht="15.75" customHeight="1" spans="1:26">
      <c r="A122" s="90" t="str">
        <f>IFERROR(__xludf.dummyfunction("""COMPUTED_VALUE"""),"12/03/2026 11:41:32")</f>
        <v>12/03/2026 11:41:32</v>
      </c>
      <c r="B122" s="90" t="str">
        <f>IFERROR(__xludf.dummyfunction("""COMPUTED_VALUE"""),"30")</f>
        <v>30</v>
      </c>
      <c r="C122" s="144" t="str">
        <f>IFERROR(__xludf.dummyfunction("""COMPUTED_VALUE"""),"ANTHONY HENRIQUE SANTOS DA SILVA")</f>
        <v>ANTHONY HENRIQUE SANTOS DA SILVA</v>
      </c>
      <c r="D122" s="90" t="str">
        <f>IFERROR(__xludf.dummyfunction("""COMPUTED_VALUE"""),"21/09/2023")</f>
        <v>21/09/2023</v>
      </c>
      <c r="E122" s="90" t="str">
        <f>IFERROR(__xludf.dummyfunction("""COMPUTED_VALUE"""),"186.598.194-03")</f>
        <v>186.598.194-03</v>
      </c>
      <c r="F122" s="90" t="str">
        <f>IFERROR(__xludf.dummyfunction("""COMPUTED_VALUE"""),"INFANTIL 2")</f>
        <v>INFANTIL 2</v>
      </c>
      <c r="G122" s="90" t="str">
        <f>IFERROR(__xludf.dummyfunction("""COMPUTED_VALUE"""),"CEMEI PROFESSORA LINDOMAR DOMINGOS DA SILVA ANJOS")</f>
        <v>CEMEI PROFESSORA LINDOMAR DOMINGOS DA SILVA ANJOS</v>
      </c>
      <c r="H122" s="90" t="str">
        <f>IFERROR(__xludf.dummyfunction("""COMPUTED_VALUE"""),"REGIONAL 5")</f>
        <v>REGIONAL 5</v>
      </c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ht="15.75" customHeight="1" spans="1:26">
      <c r="A123" s="90" t="str">
        <f>IFERROR(__xludf.dummyfunction("""COMPUTED_VALUE"""),"25/04/2026 06:48:05")</f>
        <v>25/04/2026 06:48:05</v>
      </c>
      <c r="B123" s="90" t="str">
        <f>IFERROR(__xludf.dummyfunction("""COMPUTED_VALUE"""),"31")</f>
        <v>31</v>
      </c>
      <c r="C123" s="144" t="str">
        <f>IFERROR(__xludf.dummyfunction("""COMPUTED_VALUE"""),"CECÍLIA MORAES DE ABREU")</f>
        <v>CECÍLIA MORAES DE ABREU</v>
      </c>
      <c r="D123" s="90" t="str">
        <f>IFERROR(__xludf.dummyfunction("""COMPUTED_VALUE"""),"23/09/2023")</f>
        <v>23/09/2023</v>
      </c>
      <c r="E123" s="90" t="str">
        <f>IFERROR(__xludf.dummyfunction("""COMPUTED_VALUE"""),"000.222.764-91")</f>
        <v>000.222.764-91</v>
      </c>
      <c r="F123" s="90" t="str">
        <f>IFERROR(__xludf.dummyfunction("""COMPUTED_VALUE"""),"INFANTIL 2")</f>
        <v>INFANTIL 2</v>
      </c>
      <c r="G123" s="90" t="str">
        <f>IFERROR(__xludf.dummyfunction("""COMPUTED_VALUE"""),"CEMEI PROFESSORA LINDOMAR DOMINGOS DA SILVA ANJOS")</f>
        <v>CEMEI PROFESSORA LINDOMAR DOMINGOS DA SILVA ANJOS</v>
      </c>
      <c r="H123" s="90" t="str">
        <f>IFERROR(__xludf.dummyfunction("""COMPUTED_VALUE"""),"REGIONAL 5")</f>
        <v>REGIONAL 5</v>
      </c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ht="15.75" customHeight="1" spans="1:26">
      <c r="A124" s="90" t="str">
        <f>IFERROR(__xludf.dummyfunction("""COMPUTED_VALUE"""),"29/06/2026 09:11:46")</f>
        <v>29/06/2026 09:11:46</v>
      </c>
      <c r="B124" s="90" t="str">
        <f>IFERROR(__xludf.dummyfunction("""COMPUTED_VALUE"""),"32")</f>
        <v>32</v>
      </c>
      <c r="C124" s="144" t="str">
        <f>IFERROR(__xludf.dummyfunction("""COMPUTED_VALUE"""),"KALEB RUAN BARBOZA DA SILVA")</f>
        <v>KALEB RUAN BARBOZA DA SILVA</v>
      </c>
      <c r="D124" s="90" t="str">
        <f>IFERROR(__xludf.dummyfunction("""COMPUTED_VALUE"""),"16/02/2024")</f>
        <v>16/02/2024</v>
      </c>
      <c r="E124" s="90" t="str">
        <f>IFERROR(__xludf.dummyfunction("""COMPUTED_VALUE"""),"001.982.434-30")</f>
        <v>001.982.434-30</v>
      </c>
      <c r="F124" s="90" t="str">
        <f>IFERROR(__xludf.dummyfunction("""COMPUTED_VALUE"""),"INFANTIL 2")</f>
        <v>INFANTIL 2</v>
      </c>
      <c r="G124" s="90" t="str">
        <f>IFERROR(__xludf.dummyfunction("""COMPUTED_VALUE"""),"CEMEI PROFESSORA LINDOMAR DOMINGOS DA SILVA ANJOS")</f>
        <v>CEMEI PROFESSORA LINDOMAR DOMINGOS DA SILVA ANJOS</v>
      </c>
      <c r="H124" s="90" t="str">
        <f>IFERROR(__xludf.dummyfunction("""COMPUTED_VALUE"""),"REGIONAL 5")</f>
        <v>REGIONAL 5</v>
      </c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ht="15.75" customHeight="1" spans="1:26">
      <c r="A125" s="90" t="str">
        <f>IFERROR(__xludf.dummyfunction("""COMPUTED_VALUE"""),"29/07/2026 11:41:38")</f>
        <v>29/07/2026 11:41:38</v>
      </c>
      <c r="B125" s="90" t="str">
        <f>IFERROR(__xludf.dummyfunction("""COMPUTED_VALUE"""),"33")</f>
        <v>33</v>
      </c>
      <c r="C125" s="144" t="str">
        <f>IFERROR(__xludf.dummyfunction("""COMPUTED_VALUE"""),"MAYA SILVA DE MORAES")</f>
        <v>MAYA SILVA DE MORAES</v>
      </c>
      <c r="D125" s="90" t="str">
        <f>IFERROR(__xludf.dummyfunction("""COMPUTED_VALUE"""),"11/09/2023")</f>
        <v>11/09/2023</v>
      </c>
      <c r="E125" s="90" t="str">
        <f>IFERROR(__xludf.dummyfunction("""COMPUTED_VALUE"""),"186.554.664-09")</f>
        <v>186.554.664-09</v>
      </c>
      <c r="F125" s="90" t="str">
        <f>IFERROR(__xludf.dummyfunction("""COMPUTED_VALUE"""),"INFANTIL 2")</f>
        <v>INFANTIL 2</v>
      </c>
      <c r="G125" s="90" t="str">
        <f>IFERROR(__xludf.dummyfunction("""COMPUTED_VALUE"""),"CEMEI PROFESSORA LINDOMAR DOMINGOS DA SILVA ANJOS")</f>
        <v>CEMEI PROFESSORA LINDOMAR DOMINGOS DA SILVA ANJOS</v>
      </c>
      <c r="H125" s="90" t="str">
        <f>IFERROR(__xludf.dummyfunction("""COMPUTED_VALUE"""),"REGIONAL 5")</f>
        <v>REGIONAL 5</v>
      </c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ht="15.75" customHeight="1" spans="1:26">
      <c r="A126" s="90" t="str">
        <f>IFERROR(__xludf.dummyfunction("""COMPUTED_VALUE"""),"21/08/2026 17:45:10")</f>
        <v>21/08/2026 17:45:10</v>
      </c>
      <c r="B126" s="90" t="str">
        <f>IFERROR(__xludf.dummyfunction("""COMPUTED_VALUE"""),"34")</f>
        <v>34</v>
      </c>
      <c r="C126" s="144" t="str">
        <f>IFERROR(__xludf.dummyfunction("""COMPUTED_VALUE"""),"Arthur Samuel")</f>
        <v>Arthur Samuel</v>
      </c>
      <c r="D126" s="90" t="str">
        <f>IFERROR(__xludf.dummyfunction("""COMPUTED_VALUE"""),"07/05/2023")</f>
        <v>07/05/2023</v>
      </c>
      <c r="E126" s="90" t="str">
        <f>IFERROR(__xludf.dummyfunction("""COMPUTED_VALUE"""),"166.562.289-09")</f>
        <v>166.562.289-09</v>
      </c>
      <c r="F126" s="90" t="str">
        <f>IFERROR(__xludf.dummyfunction("""COMPUTED_VALUE"""),"INFANTIL 2")</f>
        <v>INFANTIL 2</v>
      </c>
      <c r="G126" s="90" t="str">
        <f>IFERROR(__xludf.dummyfunction("""COMPUTED_VALUE"""),"CEMEI PROFESSORA LINDOMAR DOMINGOS DA SILVA ANJOS")</f>
        <v>CEMEI PROFESSORA LINDOMAR DOMINGOS DA SILVA ANJOS</v>
      </c>
      <c r="H126" s="90" t="str">
        <f>IFERROR(__xludf.dummyfunction("""COMPUTED_VALUE"""),"REGIONAL 5")</f>
        <v>REGIONAL 5</v>
      </c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ht="15.75" customHeight="1" spans="1:26">
      <c r="A127" s="90" t="str">
        <f>IFERROR(__xludf.dummyfunction("""COMPUTED_VALUE"""),"17/09/2026 11:46:58")</f>
        <v>17/09/2026 11:46:58</v>
      </c>
      <c r="B127" s="90" t="str">
        <f>IFERROR(__xludf.dummyfunction("""COMPUTED_VALUE"""),"35")</f>
        <v>35</v>
      </c>
      <c r="C127" s="144" t="str">
        <f>IFERROR(__xludf.dummyfunction("""COMPUTED_VALUE"""),"HEITOR WILIAN VERIDIANO PEREIRA")</f>
        <v>HEITOR WILIAN VERIDIANO PEREIRA</v>
      </c>
      <c r="D127" s="90" t="str">
        <f>IFERROR(__xludf.dummyfunction("""COMPUTED_VALUE"""),"31/05/2023")</f>
        <v>31/05/2023</v>
      </c>
      <c r="E127" s="90" t="str">
        <f>IFERROR(__xludf.dummyfunction("""COMPUTED_VALUE"""),"185.524.974-09")</f>
        <v>185.524.974-09</v>
      </c>
      <c r="F127" s="90" t="str">
        <f>IFERROR(__xludf.dummyfunction("""COMPUTED_VALUE"""),"INFANTIL 2")</f>
        <v>INFANTIL 2</v>
      </c>
      <c r="G127" s="90" t="str">
        <f>IFERROR(__xludf.dummyfunction("""COMPUTED_VALUE"""),"CEMEI PROFESSORA LINDOMAR DOMINGOS DA SILVA ANJOS")</f>
        <v>CEMEI PROFESSORA LINDOMAR DOMINGOS DA SILVA ANJOS</v>
      </c>
      <c r="H127" s="90" t="str">
        <f>IFERROR(__xludf.dummyfunction("""COMPUTED_VALUE"""),"REGIONAL 5")</f>
        <v>REGIONAL 5</v>
      </c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ht="15.75" customHeight="1" spans="1:26">
      <c r="A128" s="90" t="str">
        <f>IFERROR(__xludf.dummyfunction("""COMPUTED_VALUE"""),"28/01/2026 08:09:51")</f>
        <v>28/01/2026 08:09:51</v>
      </c>
      <c r="B128" s="90" t="str">
        <f>IFERROR(__xludf.dummyfunction("""COMPUTED_VALUE"""),"1")</f>
        <v>1</v>
      </c>
      <c r="C128" s="144" t="str">
        <f>IFERROR(__xludf.dummyfunction("""COMPUTED_VALUE"""),"JÚLIA VITÓRIA MARTINS DA SILVA SANTOS")</f>
        <v>JÚLIA VITÓRIA MARTINS DA SILVA SANTOS</v>
      </c>
      <c r="D128" s="90" t="str">
        <f>IFERROR(__xludf.dummyfunction("""COMPUTED_VALUE"""),"11/08/2022")</f>
        <v>11/08/2022</v>
      </c>
      <c r="E128" s="90" t="str">
        <f>IFERROR(__xludf.dummyfunction("""COMPUTED_VALUE"""),"182.893.304-05")</f>
        <v>182.893.304-05</v>
      </c>
      <c r="F128" s="90" t="str">
        <f>IFERROR(__xludf.dummyfunction("""COMPUTED_VALUE"""),"INFANTIL 3")</f>
        <v>INFANTIL 3</v>
      </c>
      <c r="G128" s="90" t="str">
        <f>IFERROR(__xludf.dummyfunction("""COMPUTED_VALUE"""),"CEMEI PROFESSORA LINDOMAR DOMINGOS DA SILVA ANJOS")</f>
        <v>CEMEI PROFESSORA LINDOMAR DOMINGOS DA SILVA ANJOS</v>
      </c>
      <c r="H128" s="90" t="str">
        <f>IFERROR(__xludf.dummyfunction("""COMPUTED_VALUE"""),"REGIONAL 5")</f>
        <v>REGIONAL 5</v>
      </c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ht="15.75" customHeight="1" spans="1:26">
      <c r="A129" s="90" t="str">
        <f>IFERROR(__xludf.dummyfunction("""COMPUTED_VALUE"""),"28/01/2026 08:18:50")</f>
        <v>28/01/2026 08:18:50</v>
      </c>
      <c r="B129" s="90" t="str">
        <f>IFERROR(__xludf.dummyfunction("""COMPUTED_VALUE"""),"2")</f>
        <v>2</v>
      </c>
      <c r="C129" s="144" t="str">
        <f>IFERROR(__xludf.dummyfunction("""COMPUTED_VALUE"""),"THOMAS SHELBY ALMEIDA SANTOS")</f>
        <v>THOMAS SHELBY ALMEIDA SANTOS</v>
      </c>
      <c r="D129" s="90" t="str">
        <f>IFERROR(__xludf.dummyfunction("""COMPUTED_VALUE"""),"25/06/2022")</f>
        <v>25/06/2022</v>
      </c>
      <c r="E129" s="90" t="str">
        <f>IFERROR(__xludf.dummyfunction("""COMPUTED_VALUE"""),"182.095.624-52")</f>
        <v>182.095.624-52</v>
      </c>
      <c r="F129" s="90" t="str">
        <f>IFERROR(__xludf.dummyfunction("""COMPUTED_VALUE"""),"INFANTIL 3")</f>
        <v>INFANTIL 3</v>
      </c>
      <c r="G129" s="90" t="str">
        <f>IFERROR(__xludf.dummyfunction("""COMPUTED_VALUE"""),"CEMEI PROFESSORA LINDOMAR DOMINGOS DA SILVA ANJOS")</f>
        <v>CEMEI PROFESSORA LINDOMAR DOMINGOS DA SILVA ANJOS</v>
      </c>
      <c r="H129" s="90" t="str">
        <f>IFERROR(__xludf.dummyfunction("""COMPUTED_VALUE"""),"REGIONAL 5")</f>
        <v>REGIONAL 5</v>
      </c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ht="15.75" customHeight="1" spans="1:26">
      <c r="A130" s="90" t="str">
        <f>IFERROR(__xludf.dummyfunction("""COMPUTED_VALUE"""),"28/01/2026 08:24:51")</f>
        <v>28/01/2026 08:24:51</v>
      </c>
      <c r="B130" s="90" t="str">
        <f>IFERROR(__xludf.dummyfunction("""COMPUTED_VALUE"""),"3")</f>
        <v>3</v>
      </c>
      <c r="C130" s="144" t="str">
        <f>IFERROR(__xludf.dummyfunction("""COMPUTED_VALUE"""),"KEVIN LUCAS VITORINO DA SILVA")</f>
        <v>KEVIN LUCAS VITORINO DA SILVA</v>
      </c>
      <c r="D130" s="90" t="str">
        <f>IFERROR(__xludf.dummyfunction("""COMPUTED_VALUE"""),"14/01/2023")</f>
        <v>14/01/2023</v>
      </c>
      <c r="E130" s="90" t="str">
        <f>IFERROR(__xludf.dummyfunction("""COMPUTED_VALUE"""),"184.272.764-86")</f>
        <v>184.272.764-86</v>
      </c>
      <c r="F130" s="90" t="str">
        <f>IFERROR(__xludf.dummyfunction("""COMPUTED_VALUE"""),"INFANTIL 3")</f>
        <v>INFANTIL 3</v>
      </c>
      <c r="G130" s="90" t="str">
        <f>IFERROR(__xludf.dummyfunction("""COMPUTED_VALUE"""),"CEMEI PROFESSORA LINDOMAR DOMINGOS DA SILVA ANJOS")</f>
        <v>CEMEI PROFESSORA LINDOMAR DOMINGOS DA SILVA ANJOS</v>
      </c>
      <c r="H130" s="90" t="str">
        <f>IFERROR(__xludf.dummyfunction("""COMPUTED_VALUE"""),"REGIONAL 5")</f>
        <v>REGIONAL 5</v>
      </c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ht="15.75" customHeight="1" spans="1:26">
      <c r="A131" s="90" t="str">
        <f>IFERROR(__xludf.dummyfunction("""COMPUTED_VALUE"""),"28/01/2026 08:40:24")</f>
        <v>28/01/2026 08:40:24</v>
      </c>
      <c r="B131" s="90" t="str">
        <f>IFERROR(__xludf.dummyfunction("""COMPUTED_VALUE"""),"4")</f>
        <v>4</v>
      </c>
      <c r="C131" s="144" t="str">
        <f>IFERROR(__xludf.dummyfunction("""COMPUTED_VALUE"""),"ARTHUR HENRIQUE DE OLIVEIRA SOUZA")</f>
        <v>ARTHUR HENRIQUE DE OLIVEIRA SOUZA</v>
      </c>
      <c r="D131" s="90" t="str">
        <f>IFERROR(__xludf.dummyfunction("""COMPUTED_VALUE"""),"16/05/2022")</f>
        <v>16/05/2022</v>
      </c>
      <c r="E131" s="90" t="str">
        <f>IFERROR(__xludf.dummyfunction("""COMPUTED_VALUE"""),"181.683.934-57")</f>
        <v>181.683.934-57</v>
      </c>
      <c r="F131" s="90" t="str">
        <f>IFERROR(__xludf.dummyfunction("""COMPUTED_VALUE"""),"INFANTIL 3")</f>
        <v>INFANTIL 3</v>
      </c>
      <c r="G131" s="90" t="str">
        <f>IFERROR(__xludf.dummyfunction("""COMPUTED_VALUE"""),"CEMEI PROFESSORA LINDOMAR DOMINGOS DA SILVA ANJOS")</f>
        <v>CEMEI PROFESSORA LINDOMAR DOMINGOS DA SILVA ANJOS</v>
      </c>
      <c r="H131" s="90" t="str">
        <f>IFERROR(__xludf.dummyfunction("""COMPUTED_VALUE"""),"REGIONAL 5")</f>
        <v>REGIONAL 5</v>
      </c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ht="15.75" customHeight="1" spans="1:26">
      <c r="A132" s="90" t="str">
        <f>IFERROR(__xludf.dummyfunction("""COMPUTED_VALUE"""),"28/01/2026 08:49:30")</f>
        <v>28/01/2026 08:49:30</v>
      </c>
      <c r="B132" s="90" t="str">
        <f>IFERROR(__xludf.dummyfunction("""COMPUTED_VALUE"""),"5")</f>
        <v>5</v>
      </c>
      <c r="C132" s="144" t="str">
        <f>IFERROR(__xludf.dummyfunction("""COMPUTED_VALUE"""),"JOAQUIM BRAZ SOARES DA SILVA")</f>
        <v>JOAQUIM BRAZ SOARES DA SILVA</v>
      </c>
      <c r="D132" s="90" t="str">
        <f>IFERROR(__xludf.dummyfunction("""COMPUTED_VALUE"""),"06/03/2023")</f>
        <v>06/03/2023</v>
      </c>
      <c r="E132" s="90" t="str">
        <f>IFERROR(__xludf.dummyfunction("""COMPUTED_VALUE"""),"184.957.744-70")</f>
        <v>184.957.744-70</v>
      </c>
      <c r="F132" s="90" t="str">
        <f>IFERROR(__xludf.dummyfunction("""COMPUTED_VALUE"""),"INFANTIL 3")</f>
        <v>INFANTIL 3</v>
      </c>
      <c r="G132" s="90" t="str">
        <f>IFERROR(__xludf.dummyfunction("""COMPUTED_VALUE"""),"CEMEI PROFESSORA LINDOMAR DOMINGOS DA SILVA ANJOS")</f>
        <v>CEMEI PROFESSORA LINDOMAR DOMINGOS DA SILVA ANJOS</v>
      </c>
      <c r="H132" s="90" t="str">
        <f>IFERROR(__xludf.dummyfunction("""COMPUTED_VALUE"""),"REGIONAL 5")</f>
        <v>REGIONAL 5</v>
      </c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ht="15.75" customHeight="1" spans="1:26">
      <c r="A133" s="90" t="str">
        <f>IFERROR(__xludf.dummyfunction("""COMPUTED_VALUE"""),"28/01/2026 10:50:39")</f>
        <v>28/01/2026 10:50:39</v>
      </c>
      <c r="B133" s="90" t="str">
        <f>IFERROR(__xludf.dummyfunction("""COMPUTED_VALUE"""),"6")</f>
        <v>6</v>
      </c>
      <c r="C133" s="144" t="str">
        <f>IFERROR(__xludf.dummyfunction("""COMPUTED_VALUE"""),"GAELL SILVA RAMOS")</f>
        <v>GAELL SILVA RAMOS</v>
      </c>
      <c r="D133" s="90" t="str">
        <f>IFERROR(__xludf.dummyfunction("""COMPUTED_VALUE"""),"14/04/2022")</f>
        <v>14/04/2022</v>
      </c>
      <c r="E133" s="90" t="str">
        <f>IFERROR(__xludf.dummyfunction("""COMPUTED_VALUE"""),"181.246.604-84")</f>
        <v>181.246.604-84</v>
      </c>
      <c r="F133" s="90" t="str">
        <f>IFERROR(__xludf.dummyfunction("""COMPUTED_VALUE"""),"INFANTIL 3")</f>
        <v>INFANTIL 3</v>
      </c>
      <c r="G133" s="90" t="str">
        <f>IFERROR(__xludf.dummyfunction("""COMPUTED_VALUE"""),"CEMEI PROFESSORA LINDOMAR DOMINGOS DA SILVA ANJOS")</f>
        <v>CEMEI PROFESSORA LINDOMAR DOMINGOS DA SILVA ANJOS</v>
      </c>
      <c r="H133" s="90" t="str">
        <f>IFERROR(__xludf.dummyfunction("""COMPUTED_VALUE"""),"REGIONAL 5")</f>
        <v>REGIONAL 5</v>
      </c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ht="15.75" customHeight="1" spans="1:26">
      <c r="A134" s="90" t="str">
        <f>IFERROR(__xludf.dummyfunction("""COMPUTED_VALUE"""),"28/01/2026 15:27:57")</f>
        <v>28/01/2026 15:27:57</v>
      </c>
      <c r="B134" s="90" t="str">
        <f>IFERROR(__xludf.dummyfunction("""COMPUTED_VALUE"""),"7")</f>
        <v>7</v>
      </c>
      <c r="C134" s="144" t="str">
        <f>IFERROR(__xludf.dummyfunction("""COMPUTED_VALUE"""),"ANTHONY BENJAMIM NASCIMENTO DA SILVA")</f>
        <v>ANTHONY BENJAMIM NASCIMENTO DA SILVA</v>
      </c>
      <c r="D134" s="90" t="str">
        <f>IFERROR(__xludf.dummyfunction("""COMPUTED_VALUE"""),"19/04/2022")</f>
        <v>19/04/2022</v>
      </c>
      <c r="E134" s="90" t="str">
        <f>IFERROR(__xludf.dummyfunction("""COMPUTED_VALUE"""),"181.296.554-03")</f>
        <v>181.296.554-03</v>
      </c>
      <c r="F134" s="90" t="str">
        <f>IFERROR(__xludf.dummyfunction("""COMPUTED_VALUE"""),"INFANTIL 3")</f>
        <v>INFANTIL 3</v>
      </c>
      <c r="G134" s="90" t="str">
        <f>IFERROR(__xludf.dummyfunction("""COMPUTED_VALUE"""),"CEMEI PROFESSORA LINDOMAR DOMINGOS DA SILVA ANJOS")</f>
        <v>CEMEI PROFESSORA LINDOMAR DOMINGOS DA SILVA ANJOS</v>
      </c>
      <c r="H134" s="90" t="str">
        <f>IFERROR(__xludf.dummyfunction("""COMPUTED_VALUE"""),"REGIONAL 5")</f>
        <v>REGIONAL 5</v>
      </c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ht="15.75" customHeight="1" spans="1:26">
      <c r="A135" s="90" t="str">
        <f>IFERROR(__xludf.dummyfunction("""COMPUTED_VALUE"""),"28/01/2026 16:26:14")</f>
        <v>28/01/2026 16:26:14</v>
      </c>
      <c r="B135" s="90" t="str">
        <f>IFERROR(__xludf.dummyfunction("""COMPUTED_VALUE"""),"8")</f>
        <v>8</v>
      </c>
      <c r="C135" s="144" t="str">
        <f>IFERROR(__xludf.dummyfunction("""COMPUTED_VALUE"""),"ANTHONY TALISSON SANTOS DA SILVA")</f>
        <v>ANTHONY TALISSON SANTOS DA SILVA</v>
      </c>
      <c r="D135" s="90" t="str">
        <f>IFERROR(__xludf.dummyfunction("""COMPUTED_VALUE"""),"13/12/2022")</f>
        <v>13/12/2022</v>
      </c>
      <c r="E135" s="90" t="str">
        <f>IFERROR(__xludf.dummyfunction("""COMPUTED_VALUE"""),"184.039.494-30")</f>
        <v>184.039.494-30</v>
      </c>
      <c r="F135" s="90" t="str">
        <f>IFERROR(__xludf.dummyfunction("""COMPUTED_VALUE"""),"INFANTIL 3")</f>
        <v>INFANTIL 3</v>
      </c>
      <c r="G135" s="90" t="str">
        <f>IFERROR(__xludf.dummyfunction("""COMPUTED_VALUE"""),"CEMEI PROFESSORA LINDOMAR DOMINGOS DA SILVA ANJOS")</f>
        <v>CEMEI PROFESSORA LINDOMAR DOMINGOS DA SILVA ANJOS</v>
      </c>
      <c r="H135" s="90" t="str">
        <f>IFERROR(__xludf.dummyfunction("""COMPUTED_VALUE"""),"REGIONAL 5")</f>
        <v>REGIONAL 5</v>
      </c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ht="15.75" customHeight="1" spans="1:26">
      <c r="A136" s="90" t="str">
        <f>IFERROR(__xludf.dummyfunction("""COMPUTED_VALUE"""),"28/01/2026 22:31:23")</f>
        <v>28/01/2026 22:31:23</v>
      </c>
      <c r="B136" s="90" t="str">
        <f>IFERROR(__xludf.dummyfunction("""COMPUTED_VALUE"""),"9")</f>
        <v>9</v>
      </c>
      <c r="C136" s="144" t="str">
        <f>IFERROR(__xludf.dummyfunction("""COMPUTED_VALUE"""),"LUCAS MIGUEL DA HORA SILVA")</f>
        <v>LUCAS MIGUEL DA HORA SILVA</v>
      </c>
      <c r="D136" s="90" t="str">
        <f>IFERROR(__xludf.dummyfunction("""COMPUTED_VALUE"""),"26/12/2022")</f>
        <v>26/12/2022</v>
      </c>
      <c r="E136" s="90" t="str">
        <f>IFERROR(__xludf.dummyfunction("""COMPUTED_VALUE"""),"184.174.244-90")</f>
        <v>184.174.244-90</v>
      </c>
      <c r="F136" s="90" t="str">
        <f>IFERROR(__xludf.dummyfunction("""COMPUTED_VALUE"""),"INFANTIL 3")</f>
        <v>INFANTIL 3</v>
      </c>
      <c r="G136" s="90" t="str">
        <f>IFERROR(__xludf.dummyfunction("""COMPUTED_VALUE"""),"CEMEI PROFESSORA LINDOMAR DOMINGOS DA SILVA ANJOS")</f>
        <v>CEMEI PROFESSORA LINDOMAR DOMINGOS DA SILVA ANJOS</v>
      </c>
      <c r="H136" s="90" t="str">
        <f>IFERROR(__xludf.dummyfunction("""COMPUTED_VALUE"""),"REGIONAL 5")</f>
        <v>REGIONAL 5</v>
      </c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ht="15.75" customHeight="1" spans="1:26">
      <c r="A137" s="90" t="str">
        <f>IFERROR(__xludf.dummyfunction("""COMPUTED_VALUE"""),"29/01/2026 13:04:58")</f>
        <v>29/01/2026 13:04:58</v>
      </c>
      <c r="B137" s="90" t="str">
        <f>IFERROR(__xludf.dummyfunction("""COMPUTED_VALUE"""),"10")</f>
        <v>10</v>
      </c>
      <c r="C137" s="144" t="str">
        <f>IFERROR(__xludf.dummyfunction("""COMPUTED_VALUE"""),"GAEL ALVES GONÇALO DA SILVA")</f>
        <v>GAEL ALVES GONÇALO DA SILVA</v>
      </c>
      <c r="D137" s="90" t="str">
        <f>IFERROR(__xludf.dummyfunction("""COMPUTED_VALUE"""),"19/02/2023")</f>
        <v>19/02/2023</v>
      </c>
      <c r="E137" s="90" t="str">
        <f>IFERROR(__xludf.dummyfunction("""COMPUTED_VALUE"""),"184.739.754-99")</f>
        <v>184.739.754-99</v>
      </c>
      <c r="F137" s="90" t="str">
        <f>IFERROR(__xludf.dummyfunction("""COMPUTED_VALUE"""),"INFANTIL 3")</f>
        <v>INFANTIL 3</v>
      </c>
      <c r="G137" s="90" t="str">
        <f>IFERROR(__xludf.dummyfunction("""COMPUTED_VALUE"""),"CEMEI PROFESSORA LINDOMAR DOMINGOS DA SILVA ANJOS")</f>
        <v>CEMEI PROFESSORA LINDOMAR DOMINGOS DA SILVA ANJOS</v>
      </c>
      <c r="H137" s="90" t="str">
        <f>IFERROR(__xludf.dummyfunction("""COMPUTED_VALUE"""),"REGIONAL 5")</f>
        <v>REGIONAL 5</v>
      </c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ht="15.75" customHeight="1" spans="1:26">
      <c r="A138" s="90" t="str">
        <f>IFERROR(__xludf.dummyfunction("""COMPUTED_VALUE"""),"29/01/2026 14:26:01")</f>
        <v>29/01/2026 14:26:01</v>
      </c>
      <c r="B138" s="90" t="str">
        <f>IFERROR(__xludf.dummyfunction("""COMPUTED_VALUE"""),"11")</f>
        <v>11</v>
      </c>
      <c r="C138" s="144" t="str">
        <f>IFERROR(__xludf.dummyfunction("""COMPUTED_VALUE"""),"ISAAC MIGUEL COUTINHO GENESE")</f>
        <v>ISAAC MIGUEL COUTINHO GENESE</v>
      </c>
      <c r="D138" s="90" t="str">
        <f>IFERROR(__xludf.dummyfunction("""COMPUTED_VALUE"""),"18/02/2023")</f>
        <v>18/02/2023</v>
      </c>
      <c r="E138" s="90" t="str">
        <f>IFERROR(__xludf.dummyfunction("""COMPUTED_VALUE"""),"185.887.974-45")</f>
        <v>185.887.974-45</v>
      </c>
      <c r="F138" s="90" t="str">
        <f>IFERROR(__xludf.dummyfunction("""COMPUTED_VALUE"""),"INFANTIL 3")</f>
        <v>INFANTIL 3</v>
      </c>
      <c r="G138" s="90" t="str">
        <f>IFERROR(__xludf.dummyfunction("""COMPUTED_VALUE"""),"CEMEI PROFESSORA LINDOMAR DOMINGOS DA SILVA ANJOS")</f>
        <v>CEMEI PROFESSORA LINDOMAR DOMINGOS DA SILVA ANJOS</v>
      </c>
      <c r="H138" s="90" t="str">
        <f>IFERROR(__xludf.dummyfunction("""COMPUTED_VALUE"""),"REGIONAL 5")</f>
        <v>REGIONAL 5</v>
      </c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ht="15.75" customHeight="1" spans="1:26">
      <c r="A139" s="90" t="str">
        <f>IFERROR(__xludf.dummyfunction("""COMPUTED_VALUE"""),"01/02/2026 17:23:13")</f>
        <v>01/02/2026 17:23:13</v>
      </c>
      <c r="B139" s="90" t="str">
        <f>IFERROR(__xludf.dummyfunction("""COMPUTED_VALUE"""),"12")</f>
        <v>12</v>
      </c>
      <c r="C139" s="144" t="str">
        <f>IFERROR(__xludf.dummyfunction("""COMPUTED_VALUE"""),"TAYARA HELENA GOMES DA SILVA")</f>
        <v>TAYARA HELENA GOMES DA SILVA</v>
      </c>
      <c r="D139" s="90" t="str">
        <f>IFERROR(__xludf.dummyfunction("""COMPUTED_VALUE"""),"18/07/2022")</f>
        <v>18/07/2022</v>
      </c>
      <c r="E139" s="90" t="str">
        <f>IFERROR(__xludf.dummyfunction("""COMPUTED_VALUE"""),"182.480.944-13")</f>
        <v>182.480.944-13</v>
      </c>
      <c r="F139" s="90" t="str">
        <f>IFERROR(__xludf.dummyfunction("""COMPUTED_VALUE"""),"INFANTIL 3")</f>
        <v>INFANTIL 3</v>
      </c>
      <c r="G139" s="90" t="str">
        <f>IFERROR(__xludf.dummyfunction("""COMPUTED_VALUE"""),"CEMEI PROFESSORA LINDOMAR DOMINGOS DA SILVA ANJOS")</f>
        <v>CEMEI PROFESSORA LINDOMAR DOMINGOS DA SILVA ANJOS</v>
      </c>
      <c r="H139" s="90" t="str">
        <f>IFERROR(__xludf.dummyfunction("""COMPUTED_VALUE"""),"REGIONAL 5")</f>
        <v>REGIONAL 5</v>
      </c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ht="15.75" customHeight="1" spans="1:26">
      <c r="A140" s="90" t="str">
        <f>IFERROR(__xludf.dummyfunction("""COMPUTED_VALUE"""),"02/02/2026 08:52:36")</f>
        <v>02/02/2026 08:52:36</v>
      </c>
      <c r="B140" s="90" t="str">
        <f>IFERROR(__xludf.dummyfunction("""COMPUTED_VALUE"""),"13")</f>
        <v>13</v>
      </c>
      <c r="C140" s="144" t="str">
        <f>IFERROR(__xludf.dummyfunction("""COMPUTED_VALUE"""),"NICOLAS SALAZAR NARANJO")</f>
        <v>NICOLAS SALAZAR NARANJO</v>
      </c>
      <c r="D140" s="90" t="str">
        <f>IFERROR(__xludf.dummyfunction("""COMPUTED_VALUE"""),"20/09/2022")</f>
        <v>20/09/2022</v>
      </c>
      <c r="E140" s="90" t="str">
        <f>IFERROR(__xludf.dummyfunction("""COMPUTED_VALUE"""),"231.291.997-48")</f>
        <v>231.291.997-48</v>
      </c>
      <c r="F140" s="90" t="str">
        <f>IFERROR(__xludf.dummyfunction("""COMPUTED_VALUE"""),"INFANTIL 3")</f>
        <v>INFANTIL 3</v>
      </c>
      <c r="G140" s="90" t="str">
        <f>IFERROR(__xludf.dummyfunction("""COMPUTED_VALUE"""),"CEMEI PROFESSORA LINDOMAR DOMINGOS DA SILVA ANJOS")</f>
        <v>CEMEI PROFESSORA LINDOMAR DOMINGOS DA SILVA ANJOS</v>
      </c>
      <c r="H140" s="90" t="str">
        <f>IFERROR(__xludf.dummyfunction("""COMPUTED_VALUE"""),"REGIONAL 5")</f>
        <v>REGIONAL 5</v>
      </c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ht="15.75" customHeight="1" spans="1:26">
      <c r="A141" s="90" t="str">
        <f>IFERROR(__xludf.dummyfunction("""COMPUTED_VALUE"""),"04/02/2026 14:48:24")</f>
        <v>04/02/2026 14:48:24</v>
      </c>
      <c r="B141" s="90" t="str">
        <f>IFERROR(__xludf.dummyfunction("""COMPUTED_VALUE"""),"14")</f>
        <v>14</v>
      </c>
      <c r="C141" s="144" t="str">
        <f>IFERROR(__xludf.dummyfunction("""COMPUTED_VALUE"""),"RAKELLY LÍVIA AVELINA DA SILVA")</f>
        <v>RAKELLY LÍVIA AVELINA DA SILVA</v>
      </c>
      <c r="D141" s="90" t="str">
        <f>IFERROR(__xludf.dummyfunction("""COMPUTED_VALUE"""),"06/03/2023")</f>
        <v>06/03/2023</v>
      </c>
      <c r="E141" s="90" t="str">
        <f>IFERROR(__xludf.dummyfunction("""COMPUTED_VALUE"""),"184.728.154-04")</f>
        <v>184.728.154-04</v>
      </c>
      <c r="F141" s="90" t="str">
        <f>IFERROR(__xludf.dummyfunction("""COMPUTED_VALUE"""),"INFANTIL 3")</f>
        <v>INFANTIL 3</v>
      </c>
      <c r="G141" s="90" t="str">
        <f>IFERROR(__xludf.dummyfunction("""COMPUTED_VALUE"""),"CEMEI PROFESSORA LINDOMAR DOMINGOS DA SILVA ANJOS")</f>
        <v>CEMEI PROFESSORA LINDOMAR DOMINGOS DA SILVA ANJOS</v>
      </c>
      <c r="H141" s="90" t="str">
        <f>IFERROR(__xludf.dummyfunction("""COMPUTED_VALUE"""),"REGIONAL 5")</f>
        <v>REGIONAL 5</v>
      </c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ht="15.75" customHeight="1" spans="1:26">
      <c r="A142" s="90" t="str">
        <f>IFERROR(__xludf.dummyfunction("""COMPUTED_VALUE"""),"05/02/2026 15:38:25")</f>
        <v>05/02/2026 15:38:25</v>
      </c>
      <c r="B142" s="90" t="str">
        <f>IFERROR(__xludf.dummyfunction("""COMPUTED_VALUE"""),"15")</f>
        <v>15</v>
      </c>
      <c r="C142" s="144" t="str">
        <f>IFERROR(__xludf.dummyfunction("""COMPUTED_VALUE"""),"ANA LAURA MEDEIROS SOUZA DOS SANTOS")</f>
        <v>ANA LAURA MEDEIROS SOUZA DOS SANTOS</v>
      </c>
      <c r="D142" s="90" t="str">
        <f>IFERROR(__xludf.dummyfunction("""COMPUTED_VALUE"""),"13/06/2022")</f>
        <v>13/06/2022</v>
      </c>
      <c r="E142" s="90" t="str">
        <f>IFERROR(__xludf.dummyfunction("""COMPUTED_VALUE"""),"181.899.694-47")</f>
        <v>181.899.694-47</v>
      </c>
      <c r="F142" s="90" t="str">
        <f>IFERROR(__xludf.dummyfunction("""COMPUTED_VALUE"""),"INFANTIL 3")</f>
        <v>INFANTIL 3</v>
      </c>
      <c r="G142" s="90" t="str">
        <f>IFERROR(__xludf.dummyfunction("""COMPUTED_VALUE"""),"CEMEI PROFESSORA LINDOMAR DOMINGOS DA SILVA ANJOS")</f>
        <v>CEMEI PROFESSORA LINDOMAR DOMINGOS DA SILVA ANJOS</v>
      </c>
      <c r="H142" s="90" t="str">
        <f>IFERROR(__xludf.dummyfunction("""COMPUTED_VALUE"""),"REGIONAL 5")</f>
        <v>REGIONAL 5</v>
      </c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ht="15.75" customHeight="1" spans="1:26">
      <c r="A143" s="90" t="str">
        <f>IFERROR(__xludf.dummyfunction("""COMPUTED_VALUE"""),"06/02/2026 15:36:56")</f>
        <v>06/02/2026 15:36:56</v>
      </c>
      <c r="B143" s="90" t="str">
        <f>IFERROR(__xludf.dummyfunction("""COMPUTED_VALUE"""),"16")</f>
        <v>16</v>
      </c>
      <c r="C143" s="144" t="str">
        <f>IFERROR(__xludf.dummyfunction("""COMPUTED_VALUE"""),"MARIA BEATRIZ DA SILVA")</f>
        <v>MARIA BEATRIZ DA SILVA</v>
      </c>
      <c r="D143" s="90" t="str">
        <f>IFERROR(__xludf.dummyfunction("""COMPUTED_VALUE"""),"13/11/2022")</f>
        <v>13/11/2022</v>
      </c>
      <c r="E143" s="90" t="str">
        <f>IFERROR(__xludf.dummyfunction("""COMPUTED_VALUE"""),"183.426.674-21")</f>
        <v>183.426.674-21</v>
      </c>
      <c r="F143" s="90" t="str">
        <f>IFERROR(__xludf.dummyfunction("""COMPUTED_VALUE"""),"INFANTIL 3")</f>
        <v>INFANTIL 3</v>
      </c>
      <c r="G143" s="90" t="str">
        <f>IFERROR(__xludf.dummyfunction("""COMPUTED_VALUE"""),"CEMEI PROFESSORA LINDOMAR DOMINGOS DA SILVA ANJOS")</f>
        <v>CEMEI PROFESSORA LINDOMAR DOMINGOS DA SILVA ANJOS</v>
      </c>
      <c r="H143" s="90" t="str">
        <f>IFERROR(__xludf.dummyfunction("""COMPUTED_VALUE"""),"REGIONAL 5")</f>
        <v>REGIONAL 5</v>
      </c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ht="15.75" customHeight="1" spans="1:26">
      <c r="A144" s="90" t="str">
        <f>IFERROR(__xludf.dummyfunction("""COMPUTED_VALUE"""),"10/02/2026 09:04:52")</f>
        <v>10/02/2026 09:04:52</v>
      </c>
      <c r="B144" s="90" t="str">
        <f>IFERROR(__xludf.dummyfunction("""COMPUTED_VALUE"""),"17")</f>
        <v>17</v>
      </c>
      <c r="C144" s="144" t="str">
        <f>IFERROR(__xludf.dummyfunction("""COMPUTED_VALUE"""),"ANA CLARA MEDEIROS SOUZA DOS SANTOS")</f>
        <v>ANA CLARA MEDEIROS SOUZA DOS SANTOS</v>
      </c>
      <c r="D144" s="90" t="str">
        <f>IFERROR(__xludf.dummyfunction("""COMPUTED_VALUE"""),"13/06/2022")</f>
        <v>13/06/2022</v>
      </c>
      <c r="E144" s="90" t="str">
        <f>IFERROR(__xludf.dummyfunction("""COMPUTED_VALUE"""),"181.899.534-43")</f>
        <v>181.899.534-43</v>
      </c>
      <c r="F144" s="90" t="str">
        <f>IFERROR(__xludf.dummyfunction("""COMPUTED_VALUE"""),"INFANTIL 3")</f>
        <v>INFANTIL 3</v>
      </c>
      <c r="G144" s="90" t="str">
        <f>IFERROR(__xludf.dummyfunction("""COMPUTED_VALUE"""),"CEMEI PROFESSORA LINDOMAR DOMINGOS DA SILVA ANJOS")</f>
        <v>CEMEI PROFESSORA LINDOMAR DOMINGOS DA SILVA ANJOS</v>
      </c>
      <c r="H144" s="90" t="str">
        <f>IFERROR(__xludf.dummyfunction("""COMPUTED_VALUE"""),"REGIONAL 5")</f>
        <v>REGIONAL 5</v>
      </c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ht="15.75" customHeight="1" spans="1:26">
      <c r="A145" s="90" t="str">
        <f>IFERROR(__xludf.dummyfunction("""COMPUTED_VALUE"""),"10/02/2026 10:01:04")</f>
        <v>10/02/2026 10:01:04</v>
      </c>
      <c r="B145" s="90" t="str">
        <f>IFERROR(__xludf.dummyfunction("""COMPUTED_VALUE"""),"18")</f>
        <v>18</v>
      </c>
      <c r="C145" s="144" t="str">
        <f>IFERROR(__xludf.dummyfunction("""COMPUTED_VALUE"""),"RAYANE VITÓRIA DA SILVA MARAVILHA")</f>
        <v>RAYANE VITÓRIA DA SILVA MARAVILHA</v>
      </c>
      <c r="D145" s="90" t="str">
        <f>IFERROR(__xludf.dummyfunction("""COMPUTED_VALUE"""),"22/08/2022")</f>
        <v>22/08/2022</v>
      </c>
      <c r="E145" s="90" t="str">
        <f>IFERROR(__xludf.dummyfunction("""COMPUTED_VALUE"""),"182.666.294-47")</f>
        <v>182.666.294-47</v>
      </c>
      <c r="F145" s="90" t="str">
        <f>IFERROR(__xludf.dummyfunction("""COMPUTED_VALUE"""),"INFANTIL 3")</f>
        <v>INFANTIL 3</v>
      </c>
      <c r="G145" s="90" t="str">
        <f>IFERROR(__xludf.dummyfunction("""COMPUTED_VALUE"""),"CEMEI PROFESSORA LINDOMAR DOMINGOS DA SILVA ANJOS")</f>
        <v>CEMEI PROFESSORA LINDOMAR DOMINGOS DA SILVA ANJOS</v>
      </c>
      <c r="H145" s="90" t="str">
        <f>IFERROR(__xludf.dummyfunction("""COMPUTED_VALUE"""),"REGIONAL 5")</f>
        <v>REGIONAL 5</v>
      </c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ht="15.75" customHeight="1" spans="1:26">
      <c r="A146" s="90" t="str">
        <f>IFERROR(__xludf.dummyfunction("""COMPUTED_VALUE"""),"19/02/2026 09:51:04")</f>
        <v>19/02/2026 09:51:04</v>
      </c>
      <c r="B146" s="90" t="str">
        <f>IFERROR(__xludf.dummyfunction("""COMPUTED_VALUE"""),"19")</f>
        <v>19</v>
      </c>
      <c r="C146" s="144" t="str">
        <f>IFERROR(__xludf.dummyfunction("""COMPUTED_VALUE"""),"ANNA LAURA BATISTA SILVA")</f>
        <v>ANNA LAURA BATISTA SILVA</v>
      </c>
      <c r="D146" s="90" t="str">
        <f>IFERROR(__xludf.dummyfunction("""COMPUTED_VALUE"""),"28/08/2022")</f>
        <v>28/08/2022</v>
      </c>
      <c r="E146" s="90" t="str">
        <f>IFERROR(__xludf.dummyfunction("""COMPUTED_VALUE"""),"183.545.274-41")</f>
        <v>183.545.274-41</v>
      </c>
      <c r="F146" s="90" t="str">
        <f>IFERROR(__xludf.dummyfunction("""COMPUTED_VALUE"""),"INFANTIL 3")</f>
        <v>INFANTIL 3</v>
      </c>
      <c r="G146" s="90" t="str">
        <f>IFERROR(__xludf.dummyfunction("""COMPUTED_VALUE"""),"CEMEI PROFESSORA LINDOMAR DOMINGOS DA SILVA ANJOS")</f>
        <v>CEMEI PROFESSORA LINDOMAR DOMINGOS DA SILVA ANJOS</v>
      </c>
      <c r="H146" s="90" t="str">
        <f>IFERROR(__xludf.dummyfunction("""COMPUTED_VALUE"""),"REGIONAL 5")</f>
        <v>REGIONAL 5</v>
      </c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ht="15.75" customHeight="1" spans="1:26">
      <c r="A147" s="90" t="str">
        <f>IFERROR(__xludf.dummyfunction("""COMPUTED_VALUE"""),"19/02/2026 16:10:29")</f>
        <v>19/02/2026 16:10:29</v>
      </c>
      <c r="B147" s="90" t="str">
        <f>IFERROR(__xludf.dummyfunction("""COMPUTED_VALUE"""),"20")</f>
        <v>20</v>
      </c>
      <c r="C147" s="144" t="str">
        <f>IFERROR(__xludf.dummyfunction("""COMPUTED_VALUE"""),"LIZ FERREIRA LEODORO")</f>
        <v>LIZ FERREIRA LEODORO</v>
      </c>
      <c r="D147" s="90" t="str">
        <f>IFERROR(__xludf.dummyfunction("""COMPUTED_VALUE"""),"19/07/2022")</f>
        <v>19/07/2022</v>
      </c>
      <c r="E147" s="90" t="str">
        <f>IFERROR(__xludf.dummyfunction("""COMPUTED_VALUE"""),"182.291.174-54")</f>
        <v>182.291.174-54</v>
      </c>
      <c r="F147" s="90" t="str">
        <f>IFERROR(__xludf.dummyfunction("""COMPUTED_VALUE"""),"INFANTIL 3")</f>
        <v>INFANTIL 3</v>
      </c>
      <c r="G147" s="90" t="str">
        <f>IFERROR(__xludf.dummyfunction("""COMPUTED_VALUE"""),"CEMEI PROFESSORA LINDOMAR DOMINGOS DA SILVA ANJOS")</f>
        <v>CEMEI PROFESSORA LINDOMAR DOMINGOS DA SILVA ANJOS</v>
      </c>
      <c r="H147" s="90" t="str">
        <f>IFERROR(__xludf.dummyfunction("""COMPUTED_VALUE"""),"REGIONAL 5")</f>
        <v>REGIONAL 5</v>
      </c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ht="15.75" customHeight="1" spans="1:26">
      <c r="A148" s="90" t="str">
        <f>IFERROR(__xludf.dummyfunction("""COMPUTED_VALUE"""),"03/03/2026 13:51:57")</f>
        <v>03/03/2026 13:51:57</v>
      </c>
      <c r="B148" s="90" t="str">
        <f>IFERROR(__xludf.dummyfunction("""COMPUTED_VALUE"""),"21")</f>
        <v>21</v>
      </c>
      <c r="C148" s="144" t="str">
        <f>IFERROR(__xludf.dummyfunction("""COMPUTED_VALUE"""),"THEO RAFAEL DEODATO DE MEDEIROS")</f>
        <v>THEO RAFAEL DEODATO DE MEDEIROS</v>
      </c>
      <c r="D148" s="90" t="str">
        <f>IFERROR(__xludf.dummyfunction("""COMPUTED_VALUE"""),"15/03/2023")</f>
        <v>15/03/2023</v>
      </c>
      <c r="E148" s="90" t="str">
        <f>IFERROR(__xludf.dummyfunction("""COMPUTED_VALUE"""),"184.730.544-07")</f>
        <v>184.730.544-07</v>
      </c>
      <c r="F148" s="90" t="str">
        <f>IFERROR(__xludf.dummyfunction("""COMPUTED_VALUE"""),"INFANTIL 3")</f>
        <v>INFANTIL 3</v>
      </c>
      <c r="G148" s="90" t="str">
        <f>IFERROR(__xludf.dummyfunction("""COMPUTED_VALUE"""),"CEMEI PROFESSORA LINDOMAR DOMINGOS DA SILVA ANJOS")</f>
        <v>CEMEI PROFESSORA LINDOMAR DOMINGOS DA SILVA ANJOS</v>
      </c>
      <c r="H148" s="90" t="str">
        <f>IFERROR(__xludf.dummyfunction("""COMPUTED_VALUE"""),"REGIONAL 5")</f>
        <v>REGIONAL 5</v>
      </c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ht="15.75" customHeight="1" spans="1:26">
      <c r="A149" s="90" t="str">
        <f>IFERROR(__xludf.dummyfunction("""COMPUTED_VALUE"""),"24/03/2026 15:33:58")</f>
        <v>24/03/2026 15:33:58</v>
      </c>
      <c r="B149" s="90" t="str">
        <f>IFERROR(__xludf.dummyfunction("""COMPUTED_VALUE"""),"22")</f>
        <v>22</v>
      </c>
      <c r="C149" s="144" t="str">
        <f>IFERROR(__xludf.dummyfunction("""COMPUTED_VALUE"""),"AYLLA VITÓRIA CAETANO DOS SANTOS")</f>
        <v>AYLLA VITÓRIA CAETANO DOS SANTOS</v>
      </c>
      <c r="D149" s="90" t="str">
        <f>IFERROR(__xludf.dummyfunction("""COMPUTED_VALUE"""),"06/10/2022")</f>
        <v>06/10/2022</v>
      </c>
      <c r="E149" s="90" t="str">
        <f>IFERROR(__xludf.dummyfunction("""COMPUTED_VALUE"""),"093.237.424-73")</f>
        <v>093.237.424-73</v>
      </c>
      <c r="F149" s="90" t="str">
        <f>IFERROR(__xludf.dummyfunction("""COMPUTED_VALUE"""),"INFANTIL 3")</f>
        <v>INFANTIL 3</v>
      </c>
      <c r="G149" s="90" t="str">
        <f>IFERROR(__xludf.dummyfunction("""COMPUTED_VALUE"""),"CEMEI PROFESSORA LINDOMAR DOMINGOS DA SILVA ANJOS")</f>
        <v>CEMEI PROFESSORA LINDOMAR DOMINGOS DA SILVA ANJOS</v>
      </c>
      <c r="H149" s="90" t="str">
        <f>IFERROR(__xludf.dummyfunction("""COMPUTED_VALUE"""),"REGIONAL 5")</f>
        <v>REGIONAL 5</v>
      </c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ht="15.75" customHeight="1" spans="1:26">
      <c r="A150" s="90" t="str">
        <f>IFERROR(__xludf.dummyfunction("""COMPUTED_VALUE"""),"09/04/2026 12:42:59")</f>
        <v>09/04/2026 12:42:59</v>
      </c>
      <c r="B150" s="90" t="str">
        <f>IFERROR(__xludf.dummyfunction("""COMPUTED_VALUE"""),"23")</f>
        <v>23</v>
      </c>
      <c r="C150" s="144" t="str">
        <f>IFERROR(__xludf.dummyfunction("""COMPUTED_VALUE"""),"TAWANE EMANUELLEY DA SILVA")</f>
        <v>TAWANE EMANUELLEY DA SILVA</v>
      </c>
      <c r="D150" s="90" t="str">
        <f>IFERROR(__xludf.dummyfunction("""COMPUTED_VALUE"""),"28/09/2022")</f>
        <v>28/09/2022</v>
      </c>
      <c r="E150" s="90" t="str">
        <f>IFERROR(__xludf.dummyfunction("""COMPUTED_VALUE"""),"183.002.884-73")</f>
        <v>183.002.884-73</v>
      </c>
      <c r="F150" s="90" t="str">
        <f>IFERROR(__xludf.dummyfunction("""COMPUTED_VALUE"""),"INFANTIL 3")</f>
        <v>INFANTIL 3</v>
      </c>
      <c r="G150" s="90" t="str">
        <f>IFERROR(__xludf.dummyfunction("""COMPUTED_VALUE"""),"CEMEI PROFESSORA LINDOMAR DOMINGOS DA SILVA ANJOS")</f>
        <v>CEMEI PROFESSORA LINDOMAR DOMINGOS DA SILVA ANJOS</v>
      </c>
      <c r="H150" s="90" t="str">
        <f>IFERROR(__xludf.dummyfunction("""COMPUTED_VALUE"""),"REGIONAL 5")</f>
        <v>REGIONAL 5</v>
      </c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ht="15.75" customHeight="1" spans="1:26">
      <c r="A151" s="90" t="str">
        <f>IFERROR(__xludf.dummyfunction("""COMPUTED_VALUE"""),"15/04/2026 12:12:34")</f>
        <v>15/04/2026 12:12:34</v>
      </c>
      <c r="B151" s="90" t="str">
        <f>IFERROR(__xludf.dummyfunction("""COMPUTED_VALUE"""),"24")</f>
        <v>24</v>
      </c>
      <c r="C151" s="144" t="str">
        <f>IFERROR(__xludf.dummyfunction("""COMPUTED_VALUE"""),"LARA MARIA MARTINS DO CARMO")</f>
        <v>LARA MARIA MARTINS DO CARMO</v>
      </c>
      <c r="D151" s="90" t="str">
        <f>IFERROR(__xludf.dummyfunction("""COMPUTED_VALUE"""),"15/05/2022")</f>
        <v>15/05/2022</v>
      </c>
      <c r="E151" s="90" t="str">
        <f>IFERROR(__xludf.dummyfunction("""COMPUTED_VALUE"""),"181.852.304-39")</f>
        <v>181.852.304-39</v>
      </c>
      <c r="F151" s="90" t="str">
        <f>IFERROR(__xludf.dummyfunction("""COMPUTED_VALUE"""),"INFANTIL 3")</f>
        <v>INFANTIL 3</v>
      </c>
      <c r="G151" s="90" t="str">
        <f>IFERROR(__xludf.dummyfunction("""COMPUTED_VALUE"""),"CEMEI PROFESSORA LINDOMAR DOMINGOS DA SILVA ANJOS")</f>
        <v>CEMEI PROFESSORA LINDOMAR DOMINGOS DA SILVA ANJOS</v>
      </c>
      <c r="H151" s="90" t="str">
        <f>IFERROR(__xludf.dummyfunction("""COMPUTED_VALUE"""),"REGIONAL 5")</f>
        <v>REGIONAL 5</v>
      </c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ht="15.75" customHeight="1" spans="1:26">
      <c r="A152" s="90" t="str">
        <f>IFERROR(__xludf.dummyfunction("""COMPUTED_VALUE"""),"15/04/2026 20:08:01")</f>
        <v>15/04/2026 20:08:01</v>
      </c>
      <c r="B152" s="90" t="str">
        <f>IFERROR(__xludf.dummyfunction("""COMPUTED_VALUE"""),"25")</f>
        <v>25</v>
      </c>
      <c r="C152" s="144" t="str">
        <f>IFERROR(__xludf.dummyfunction("""COMPUTED_VALUE"""),"MARIA LIZ VIEIRA DA SILVA")</f>
        <v>MARIA LIZ VIEIRA DA SILVA</v>
      </c>
      <c r="D152" s="90" t="str">
        <f>IFERROR(__xludf.dummyfunction("""COMPUTED_VALUE"""),"06/03/2023")</f>
        <v>06/03/2023</v>
      </c>
      <c r="E152" s="90" t="str">
        <f>IFERROR(__xludf.dummyfunction("""COMPUTED_VALUE"""),"184.686.634-09")</f>
        <v>184.686.634-09</v>
      </c>
      <c r="F152" s="90" t="str">
        <f>IFERROR(__xludf.dummyfunction("""COMPUTED_VALUE"""),"INFANTIL 3")</f>
        <v>INFANTIL 3</v>
      </c>
      <c r="G152" s="90" t="str">
        <f>IFERROR(__xludf.dummyfunction("""COMPUTED_VALUE"""),"CEMEI PROFESSORA LINDOMAR DOMINGOS DA SILVA ANJOS")</f>
        <v>CEMEI PROFESSORA LINDOMAR DOMINGOS DA SILVA ANJOS</v>
      </c>
      <c r="H152" s="90" t="str">
        <f>IFERROR(__xludf.dummyfunction("""COMPUTED_VALUE"""),"REGIONAL 5")</f>
        <v>REGIONAL 5</v>
      </c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ht="15.75" customHeight="1" spans="1:26">
      <c r="A153" s="90" t="str">
        <f>IFERROR(__xludf.dummyfunction("""COMPUTED_VALUE"""),"24/04/2026 15:30:49")</f>
        <v>24/04/2026 15:30:49</v>
      </c>
      <c r="B153" s="90" t="str">
        <f>IFERROR(__xludf.dummyfunction("""COMPUTED_VALUE"""),"26")</f>
        <v>26</v>
      </c>
      <c r="C153" s="144" t="str">
        <f>IFERROR(__xludf.dummyfunction("""COMPUTED_VALUE"""),"LAURA GABRIELY DA SILVA MELO")</f>
        <v>LAURA GABRIELY DA SILVA MELO</v>
      </c>
      <c r="D153" s="90" t="str">
        <f>IFERROR(__xludf.dummyfunction("""COMPUTED_VALUE"""),"27/07/2022")</f>
        <v>27/07/2022</v>
      </c>
      <c r="E153" s="90" t="str">
        <f>IFERROR(__xludf.dummyfunction("""COMPUTED_VALUE"""),"182.841.544-80")</f>
        <v>182.841.544-80</v>
      </c>
      <c r="F153" s="90" t="str">
        <f>IFERROR(__xludf.dummyfunction("""COMPUTED_VALUE"""),"INFANTIL 3")</f>
        <v>INFANTIL 3</v>
      </c>
      <c r="G153" s="90" t="str">
        <f>IFERROR(__xludf.dummyfunction("""COMPUTED_VALUE"""),"CEMEI PROFESSORA LINDOMAR DOMINGOS DA SILVA ANJOS")</f>
        <v>CEMEI PROFESSORA LINDOMAR DOMINGOS DA SILVA ANJOS</v>
      </c>
      <c r="H153" s="90" t="str">
        <f>IFERROR(__xludf.dummyfunction("""COMPUTED_VALUE"""),"REGIONAL 5")</f>
        <v>REGIONAL 5</v>
      </c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ht="15.75" customHeight="1" spans="1:26">
      <c r="A154" s="90" t="str">
        <f>IFERROR(__xludf.dummyfunction("""COMPUTED_VALUE"""),"13/05/2026 09:51:31")</f>
        <v>13/05/2026 09:51:31</v>
      </c>
      <c r="B154" s="90" t="str">
        <f>IFERROR(__xludf.dummyfunction("""COMPUTED_VALUE"""),"27")</f>
        <v>27</v>
      </c>
      <c r="C154" s="144" t="str">
        <f>IFERROR(__xludf.dummyfunction("""COMPUTED_VALUE"""),"ANTHONY TAYLOR MARTINS DO NASCIMENTO")</f>
        <v>ANTHONY TAYLOR MARTINS DO NASCIMENTO</v>
      </c>
      <c r="D154" s="90" t="str">
        <f>IFERROR(__xludf.dummyfunction("""COMPUTED_VALUE"""),"23/02/2023")</f>
        <v>23/02/2023</v>
      </c>
      <c r="E154" s="90" t="str">
        <f>IFERROR(__xludf.dummyfunction("""COMPUTED_VALUE"""),"608.940.818-29")</f>
        <v>608.940.818-29</v>
      </c>
      <c r="F154" s="90" t="str">
        <f>IFERROR(__xludf.dummyfunction("""COMPUTED_VALUE"""),"INFANTIL 3")</f>
        <v>INFANTIL 3</v>
      </c>
      <c r="G154" s="90" t="str">
        <f>IFERROR(__xludf.dummyfunction("""COMPUTED_VALUE"""),"CEMEI PROFESSORA LINDOMAR DOMINGOS DA SILVA ANJOS")</f>
        <v>CEMEI PROFESSORA LINDOMAR DOMINGOS DA SILVA ANJOS</v>
      </c>
      <c r="H154" s="90" t="str">
        <f>IFERROR(__xludf.dummyfunction("""COMPUTED_VALUE"""),"REGIONAL 5")</f>
        <v>REGIONAL 5</v>
      </c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ht="15.75" customHeight="1" spans="1:26">
      <c r="A155" s="90" t="str">
        <f>IFERROR(__xludf.dummyfunction("""COMPUTED_VALUE"""),"23/05/2026 20:29:57")</f>
        <v>23/05/2026 20:29:57</v>
      </c>
      <c r="B155" s="90" t="str">
        <f>IFERROR(__xludf.dummyfunction("""COMPUTED_VALUE"""),"28")</f>
        <v>28</v>
      </c>
      <c r="C155" s="144" t="str">
        <f>IFERROR(__xludf.dummyfunction("""COMPUTED_VALUE"""),"Hiago Mario Alves Tavares Mendes")</f>
        <v>Hiago Mario Alves Tavares Mendes</v>
      </c>
      <c r="D155" s="90" t="str">
        <f>IFERROR(__xludf.dummyfunction("""COMPUTED_VALUE"""),"03/11/2022")</f>
        <v>03/11/2022</v>
      </c>
      <c r="E155" s="90" t="str">
        <f>IFERROR(__xludf.dummyfunction("""COMPUTED_VALUE"""),"183.316.044-40")</f>
        <v>183.316.044-40</v>
      </c>
      <c r="F155" s="90" t="str">
        <f>IFERROR(__xludf.dummyfunction("""COMPUTED_VALUE"""),"INFANTIL 3")</f>
        <v>INFANTIL 3</v>
      </c>
      <c r="G155" s="90" t="str">
        <f>IFERROR(__xludf.dummyfunction("""COMPUTED_VALUE"""),"CEMEI PROFESSORA LINDOMAR DOMINGOS DA SILVA ANJOS")</f>
        <v>CEMEI PROFESSORA LINDOMAR DOMINGOS DA SILVA ANJOS</v>
      </c>
      <c r="H155" s="90" t="str">
        <f>IFERROR(__xludf.dummyfunction("""COMPUTED_VALUE"""),"REGIONAL 5")</f>
        <v>REGIONAL 5</v>
      </c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ht="15.75" customHeight="1" spans="1:26">
      <c r="A156" s="90" t="str">
        <f>IFERROR(__xludf.dummyfunction("""COMPUTED_VALUE"""),"01/06/2026 08:29:45")</f>
        <v>01/06/2026 08:29:45</v>
      </c>
      <c r="B156" s="90" t="str">
        <f>IFERROR(__xludf.dummyfunction("""COMPUTED_VALUE"""),"29")</f>
        <v>29</v>
      </c>
      <c r="C156" s="144" t="str">
        <f>IFERROR(__xludf.dummyfunction("""COMPUTED_VALUE"""),"BERNARDO DAVINO DE ARAÚJO")</f>
        <v>BERNARDO DAVINO DE ARAÚJO</v>
      </c>
      <c r="D156" s="90" t="str">
        <f>IFERROR(__xludf.dummyfunction("""COMPUTED_VALUE"""),"29/07/2022")</f>
        <v>29/07/2022</v>
      </c>
      <c r="E156" s="90" t="str">
        <f>IFERROR(__xludf.dummyfunction("""COMPUTED_VALUE"""),"182.453.294-60")</f>
        <v>182.453.294-60</v>
      </c>
      <c r="F156" s="90" t="str">
        <f>IFERROR(__xludf.dummyfunction("""COMPUTED_VALUE"""),"INFANTIL 3")</f>
        <v>INFANTIL 3</v>
      </c>
      <c r="G156" s="90" t="str">
        <f>IFERROR(__xludf.dummyfunction("""COMPUTED_VALUE"""),"CEMEI PROFESSORA LINDOMAR DOMINGOS DA SILVA ANJOS")</f>
        <v>CEMEI PROFESSORA LINDOMAR DOMINGOS DA SILVA ANJOS</v>
      </c>
      <c r="H156" s="90" t="str">
        <f>IFERROR(__xludf.dummyfunction("""COMPUTED_VALUE"""),"REGIONAL 5")</f>
        <v>REGIONAL 5</v>
      </c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ht="15.75" customHeight="1" spans="1:26">
      <c r="A157" s="90" t="str">
        <f>IFERROR(__xludf.dummyfunction("""COMPUTED_VALUE"""),"08/06/2026 14:32:49")</f>
        <v>08/06/2026 14:32:49</v>
      </c>
      <c r="B157" s="90" t="str">
        <f>IFERROR(__xludf.dummyfunction("""COMPUTED_VALUE"""),"30")</f>
        <v>30</v>
      </c>
      <c r="C157" s="144" t="str">
        <f>IFERROR(__xludf.dummyfunction("""COMPUTED_VALUE"""),"Eva Thais Silva de Melo")</f>
        <v>Eva Thais Silva de Melo</v>
      </c>
      <c r="D157" s="90" t="str">
        <f>IFERROR(__xludf.dummyfunction("""COMPUTED_VALUE"""),"17/05/2022")</f>
        <v>17/05/2022</v>
      </c>
      <c r="E157" s="90" t="str">
        <f>IFERROR(__xludf.dummyfunction("""COMPUTED_VALUE"""),"181.746.834-02")</f>
        <v>181.746.834-02</v>
      </c>
      <c r="F157" s="90" t="str">
        <f>IFERROR(__xludf.dummyfunction("""COMPUTED_VALUE"""),"INFANTIL 3")</f>
        <v>INFANTIL 3</v>
      </c>
      <c r="G157" s="90" t="str">
        <f>IFERROR(__xludf.dummyfunction("""COMPUTED_VALUE"""),"CEMEI PROFESSORA LINDOMAR DOMINGOS DA SILVA ANJOS")</f>
        <v>CEMEI PROFESSORA LINDOMAR DOMINGOS DA SILVA ANJOS</v>
      </c>
      <c r="H157" s="90" t="str">
        <f>IFERROR(__xludf.dummyfunction("""COMPUTED_VALUE"""),"REGIONAL 5")</f>
        <v>REGIONAL 5</v>
      </c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ht="15.75" customHeight="1" spans="1:26">
      <c r="A158" s="90" t="str">
        <f>IFERROR(__xludf.dummyfunction("""COMPUTED_VALUE"""),"11/06/2026 11:18:56")</f>
        <v>11/06/2026 11:18:56</v>
      </c>
      <c r="B158" s="90" t="str">
        <f>IFERROR(__xludf.dummyfunction("""COMPUTED_VALUE"""),"31")</f>
        <v>31</v>
      </c>
      <c r="C158" s="144" t="str">
        <f>IFERROR(__xludf.dummyfunction("""COMPUTED_VALUE"""),"ANDREW CAETANO DOS SANTOS")</f>
        <v>ANDREW CAETANO DOS SANTOS</v>
      </c>
      <c r="D158" s="90" t="str">
        <f>IFERROR(__xludf.dummyfunction("""COMPUTED_VALUE"""),"12/01/2023")</f>
        <v>12/01/2023</v>
      </c>
      <c r="E158" s="90" t="str">
        <f>IFERROR(__xludf.dummyfunction("""COMPUTED_VALUE"""),"184.039.284-32")</f>
        <v>184.039.284-32</v>
      </c>
      <c r="F158" s="90" t="str">
        <f>IFERROR(__xludf.dummyfunction("""COMPUTED_VALUE"""),"INFANTIL 3")</f>
        <v>INFANTIL 3</v>
      </c>
      <c r="G158" s="90" t="str">
        <f>IFERROR(__xludf.dummyfunction("""COMPUTED_VALUE"""),"CEMEI PROFESSORA LINDOMAR DOMINGOS DA SILVA ANJOS")</f>
        <v>CEMEI PROFESSORA LINDOMAR DOMINGOS DA SILVA ANJOS</v>
      </c>
      <c r="H158" s="90" t="str">
        <f>IFERROR(__xludf.dummyfunction("""COMPUTED_VALUE"""),"REGIONAL 5")</f>
        <v>REGIONAL 5</v>
      </c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ht="15.75" customHeight="1" spans="1:26">
      <c r="A159" s="90" t="str">
        <f>IFERROR(__xludf.dummyfunction("""COMPUTED_VALUE"""),"08/07/2026 07:42:11")</f>
        <v>08/07/2026 07:42:11</v>
      </c>
      <c r="B159" s="90" t="str">
        <f>IFERROR(__xludf.dummyfunction("""COMPUTED_VALUE"""),"32")</f>
        <v>32</v>
      </c>
      <c r="C159" s="144" t="str">
        <f>IFERROR(__xludf.dummyfunction("""COMPUTED_VALUE"""),"Ravi Rafael Silva do Nascimento")</f>
        <v>Ravi Rafael Silva do Nascimento</v>
      </c>
      <c r="D159" s="90" t="str">
        <f>IFERROR(__xludf.dummyfunction("""COMPUTED_VALUE"""),"13/05/2022")</f>
        <v>13/05/2022</v>
      </c>
      <c r="E159" s="90" t="str">
        <f>IFERROR(__xludf.dummyfunction("""COMPUTED_VALUE"""),"181.733.434-46")</f>
        <v>181.733.434-46</v>
      </c>
      <c r="F159" s="90" t="str">
        <f>IFERROR(__xludf.dummyfunction("""COMPUTED_VALUE"""),"INFANTIL 3")</f>
        <v>INFANTIL 3</v>
      </c>
      <c r="G159" s="90" t="str">
        <f>IFERROR(__xludf.dummyfunction("""COMPUTED_VALUE"""),"CEMEI PROFESSORA LINDOMAR DOMINGOS DA SILVA ANJOS")</f>
        <v>CEMEI PROFESSORA LINDOMAR DOMINGOS DA SILVA ANJOS</v>
      </c>
      <c r="H159" s="90" t="str">
        <f>IFERROR(__xludf.dummyfunction("""COMPUTED_VALUE"""),"REGIONAL 5")</f>
        <v>REGIONAL 5</v>
      </c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ht="15.75" customHeight="1" spans="1:26">
      <c r="A160" s="90" t="str">
        <f>IFERROR(__xludf.dummyfunction("""COMPUTED_VALUE"""),"18/07/2026 16:56:58")</f>
        <v>18/07/2026 16:56:58</v>
      </c>
      <c r="B160" s="90" t="str">
        <f>IFERROR(__xludf.dummyfunction("""COMPUTED_VALUE"""),"33")</f>
        <v>33</v>
      </c>
      <c r="C160" s="144" t="str">
        <f>IFERROR(__xludf.dummyfunction("""COMPUTED_VALUE"""),"stella helena gomes de souza")</f>
        <v>stella helena gomes de souza</v>
      </c>
      <c r="D160" s="90" t="str">
        <f>IFERROR(__xludf.dummyfunction("""COMPUTED_VALUE"""),"21/12/2022")</f>
        <v>21/12/2022</v>
      </c>
      <c r="E160" s="90" t="str">
        <f>IFERROR(__xludf.dummyfunction("""COMPUTED_VALUE"""),"126.561.643-46")</f>
        <v>126.561.643-46</v>
      </c>
      <c r="F160" s="90" t="str">
        <f>IFERROR(__xludf.dummyfunction("""COMPUTED_VALUE"""),"INFANTIL 3")</f>
        <v>INFANTIL 3</v>
      </c>
      <c r="G160" s="90" t="str">
        <f>IFERROR(__xludf.dummyfunction("""COMPUTED_VALUE"""),"CEMEI PROFESSORA LINDOMAR DOMINGOS DA SILVA ANJOS")</f>
        <v>CEMEI PROFESSORA LINDOMAR DOMINGOS DA SILVA ANJOS</v>
      </c>
      <c r="H160" s="90" t="str">
        <f>IFERROR(__xludf.dummyfunction("""COMPUTED_VALUE"""),"REGIONAL 5")</f>
        <v>REGIONAL 5</v>
      </c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ht="15.75" customHeight="1" spans="1:26">
      <c r="A161" s="90" t="str">
        <f>IFERROR(__xludf.dummyfunction("""COMPUTED_VALUE"""),"04/08/2026 16:43:22")</f>
        <v>04/08/2026 16:43:22</v>
      </c>
      <c r="B161" s="90" t="str">
        <f>IFERROR(__xludf.dummyfunction("""COMPUTED_VALUE"""),"34")</f>
        <v>34</v>
      </c>
      <c r="C161" s="144" t="str">
        <f>IFERROR(__xludf.dummyfunction("""COMPUTED_VALUE"""),"BRENDA LARISSA SILVA DE ARAÚJO")</f>
        <v>BRENDA LARISSA SILVA DE ARAÚJO</v>
      </c>
      <c r="D161" s="90" t="str">
        <f>IFERROR(__xludf.dummyfunction("""COMPUTED_VALUE"""),"24/09/2022")</f>
        <v>24/09/2022</v>
      </c>
      <c r="E161" s="90" t="str">
        <f>IFERROR(__xludf.dummyfunction("""COMPUTED_VALUE"""),"182.963.054-70")</f>
        <v>182.963.054-70</v>
      </c>
      <c r="F161" s="90" t="str">
        <f>IFERROR(__xludf.dummyfunction("""COMPUTED_VALUE"""),"INFANTIL 3")</f>
        <v>INFANTIL 3</v>
      </c>
      <c r="G161" s="90" t="str">
        <f>IFERROR(__xludf.dummyfunction("""COMPUTED_VALUE"""),"CEMEI PROFESSORA LINDOMAR DOMINGOS DA SILVA ANJOS")</f>
        <v>CEMEI PROFESSORA LINDOMAR DOMINGOS DA SILVA ANJOS</v>
      </c>
      <c r="H161" s="90" t="str">
        <f>IFERROR(__xludf.dummyfunction("""COMPUTED_VALUE"""),"REGIONAL 5")</f>
        <v>REGIONAL 5</v>
      </c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ht="15.75" customHeight="1" spans="1:26">
      <c r="A162" s="90" t="str">
        <f>IFERROR(__xludf.dummyfunction("""COMPUTED_VALUE"""),"26/08/2026 08:48:59")</f>
        <v>26/08/2026 08:48:59</v>
      </c>
      <c r="B162" s="90" t="str">
        <f>IFERROR(__xludf.dummyfunction("""COMPUTED_VALUE"""),"35")</f>
        <v>35</v>
      </c>
      <c r="C162" s="144" t="str">
        <f>IFERROR(__xludf.dummyfunction("""COMPUTED_VALUE"""),"LARA OLIVEIRA DA SILVA")</f>
        <v>LARA OLIVEIRA DA SILVA</v>
      </c>
      <c r="D162" s="90" t="str">
        <f>IFERROR(__xludf.dummyfunction("""COMPUTED_VALUE"""),"23/08/2022")</f>
        <v>23/08/2022</v>
      </c>
      <c r="E162" s="90" t="str">
        <f>IFERROR(__xludf.dummyfunction("""COMPUTED_VALUE"""),"183.309.994-08")</f>
        <v>183.309.994-08</v>
      </c>
      <c r="F162" s="90" t="str">
        <f>IFERROR(__xludf.dummyfunction("""COMPUTED_VALUE"""),"INFANTIL 3")</f>
        <v>INFANTIL 3</v>
      </c>
      <c r="G162" s="90" t="str">
        <f>IFERROR(__xludf.dummyfunction("""COMPUTED_VALUE"""),"CEMEI PROFESSORA LINDOMAR DOMINGOS DA SILVA ANJOS")</f>
        <v>CEMEI PROFESSORA LINDOMAR DOMINGOS DA SILVA ANJOS</v>
      </c>
      <c r="H162" s="90" t="str">
        <f>IFERROR(__xludf.dummyfunction("""COMPUTED_VALUE"""),"REGIONAL 5")</f>
        <v>REGIONAL 5</v>
      </c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ht="15.75" customHeight="1" spans="1:26">
      <c r="A163" s="90" t="str">
        <f>IFERROR(__xludf.dummyfunction("""COMPUTED_VALUE"""),"28/08/2026 18:00:10")</f>
        <v>28/08/2026 18:00:10</v>
      </c>
      <c r="B163" s="90" t="str">
        <f>IFERROR(__xludf.dummyfunction("""COMPUTED_VALUE"""),"36")</f>
        <v>36</v>
      </c>
      <c r="C163" s="144" t="str">
        <f>IFERROR(__xludf.dummyfunction("""COMPUTED_VALUE"""),"Murilo Cavalcanti Félix")</f>
        <v>Murilo Cavalcanti Félix</v>
      </c>
      <c r="D163" s="90" t="str">
        <f>IFERROR(__xludf.dummyfunction("""COMPUTED_VALUE"""),"10/09/2022")</f>
        <v>10/09/2022</v>
      </c>
      <c r="E163" s="90" t="str">
        <f>IFERROR(__xludf.dummyfunction("""COMPUTED_VALUE"""),"182.800.654-82")</f>
        <v>182.800.654-82</v>
      </c>
      <c r="F163" s="90" t="str">
        <f>IFERROR(__xludf.dummyfunction("""COMPUTED_VALUE"""),"INFANTIL 3")</f>
        <v>INFANTIL 3</v>
      </c>
      <c r="G163" s="90" t="str">
        <f>IFERROR(__xludf.dummyfunction("""COMPUTED_VALUE"""),"CEMEI PROFESSORA LINDOMAR DOMINGOS DA SILVA ANJOS")</f>
        <v>CEMEI PROFESSORA LINDOMAR DOMINGOS DA SILVA ANJOS</v>
      </c>
      <c r="H163" s="90" t="str">
        <f>IFERROR(__xludf.dummyfunction("""COMPUTED_VALUE"""),"REGIONAL 5")</f>
        <v>REGIONAL 5</v>
      </c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ht="15.75" customHeight="1" spans="1:26">
      <c r="A164" s="90" t="str">
        <f>IFERROR(__xludf.dummyfunction("""COMPUTED_VALUE"""),"09/09/2026 20:23:18")</f>
        <v>09/09/2026 20:23:18</v>
      </c>
      <c r="B164" s="90" t="str">
        <f>IFERROR(__xludf.dummyfunction("""COMPUTED_VALUE"""),"37")</f>
        <v>37</v>
      </c>
      <c r="C164" s="144" t="str">
        <f>IFERROR(__xludf.dummyfunction("""COMPUTED_VALUE"""),"Zayan Victor Cristo da silva")</f>
        <v>Zayan Victor Cristo da silva</v>
      </c>
      <c r="D164" s="90" t="str">
        <f>IFERROR(__xludf.dummyfunction("""COMPUTED_VALUE"""),"19/10/2022")</f>
        <v>19/10/2022</v>
      </c>
      <c r="E164" s="90" t="str">
        <f>IFERROR(__xludf.dummyfunction("""COMPUTED_VALUE"""),"183.203.534-40")</f>
        <v>183.203.534-40</v>
      </c>
      <c r="F164" s="90" t="str">
        <f>IFERROR(__xludf.dummyfunction("""COMPUTED_VALUE"""),"INFANTIL 3")</f>
        <v>INFANTIL 3</v>
      </c>
      <c r="G164" s="90" t="str">
        <f>IFERROR(__xludf.dummyfunction("""COMPUTED_VALUE"""),"CEMEI PROFESSORA LINDOMAR DOMINGOS DA SILVA ANJOS")</f>
        <v>CEMEI PROFESSORA LINDOMAR DOMINGOS DA SILVA ANJOS</v>
      </c>
      <c r="H164" s="90" t="str">
        <f>IFERROR(__xludf.dummyfunction("""COMPUTED_VALUE"""),"REGIONAL 5")</f>
        <v>REGIONAL 5</v>
      </c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ht="15.75" customHeight="1" spans="1:26">
      <c r="A165" s="90" t="str">
        <f>IFERROR(__xludf.dummyfunction("""COMPUTED_VALUE"""),"24/02/2026 14:04:38")</f>
        <v>24/02/2026 14:04:38</v>
      </c>
      <c r="B165" s="90" t="str">
        <f>IFERROR(__xludf.dummyfunction("""COMPUTED_VALUE"""),"1")</f>
        <v>1</v>
      </c>
      <c r="C165" s="144" t="str">
        <f>IFERROR(__xludf.dummyfunction("""COMPUTED_VALUE"""),"JOAO MIGUEL FRAZAO DA SILVA")</f>
        <v>JOAO MIGUEL FRAZAO DA SILVA</v>
      </c>
      <c r="D165" s="90" t="str">
        <f>IFERROR(__xludf.dummyfunction("""COMPUTED_VALUE"""),"01/11/2022")</f>
        <v>01/11/2022</v>
      </c>
      <c r="E165" s="90" t="str">
        <f>IFERROR(__xludf.dummyfunction("""COMPUTED_VALUE"""),"185.844.714-30")</f>
        <v>185.844.714-30</v>
      </c>
      <c r="F165" s="90" t="str">
        <f>IFERROR(__xludf.dummyfunction("""COMPUTED_VALUE"""),"INFANTIL 3")</f>
        <v>INFANTIL 3</v>
      </c>
      <c r="G165" s="90" t="str">
        <f>IFERROR(__xludf.dummyfunction("""COMPUTED_VALUE"""),"CEMEI PROFESSORA MARLUCIA EVANGELISTA DE SOUZA")</f>
        <v>CEMEI PROFESSORA MARLUCIA EVANGELISTA DE SOUZA</v>
      </c>
      <c r="H165" s="90" t="str">
        <f>IFERROR(__xludf.dummyfunction("""COMPUTED_VALUE"""),"REGIONAL 6")</f>
        <v>REGIONAL 6</v>
      </c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ht="15.75" customHeight="1" spans="1:26">
      <c r="A166" s="90" t="str">
        <f>IFERROR(__xludf.dummyfunction("""COMPUTED_VALUE"""),"26/03/2026 11:14:13")</f>
        <v>26/03/2026 11:14:13</v>
      </c>
      <c r="B166" s="90" t="str">
        <f>IFERROR(__xludf.dummyfunction("""COMPUTED_VALUE"""),"2")</f>
        <v>2</v>
      </c>
      <c r="C166" s="144" t="str">
        <f>IFERROR(__xludf.dummyfunction("""COMPUTED_VALUE"""),"ENZO GABRIEL MENDONÇA DO NASCIMENTO")</f>
        <v>ENZO GABRIEL MENDONÇA DO NASCIMENTO</v>
      </c>
      <c r="D166" s="90" t="str">
        <f>IFERROR(__xludf.dummyfunction("""COMPUTED_VALUE"""),"19/11/2022")</f>
        <v>19/11/2022</v>
      </c>
      <c r="E166" s="90" t="str">
        <f>IFERROR(__xludf.dummyfunction("""COMPUTED_VALUE"""),"183.493.574-10")</f>
        <v>183.493.574-10</v>
      </c>
      <c r="F166" s="90" t="str">
        <f>IFERROR(__xludf.dummyfunction("""COMPUTED_VALUE"""),"INFANTIL 3")</f>
        <v>INFANTIL 3</v>
      </c>
      <c r="G166" s="90" t="str">
        <f>IFERROR(__xludf.dummyfunction("""COMPUTED_VALUE"""),"CEMEI PROFESSORA MARLUCIA EVANGELISTA DE SOUZA")</f>
        <v>CEMEI PROFESSORA MARLUCIA EVANGELISTA DE SOUZA</v>
      </c>
      <c r="H166" s="90" t="str">
        <f>IFERROR(__xludf.dummyfunction("""COMPUTED_VALUE"""),"REGIONAL 6")</f>
        <v>REGIONAL 6</v>
      </c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ht="15.75" customHeight="1" spans="1:26">
      <c r="A167" s="90" t="str">
        <f>IFERROR(__xludf.dummyfunction("""COMPUTED_VALUE"""),"27/03/2026 08:54:52")</f>
        <v>27/03/2026 08:54:52</v>
      </c>
      <c r="B167" s="90" t="str">
        <f>IFERROR(__xludf.dummyfunction("""COMPUTED_VALUE"""),"3")</f>
        <v>3</v>
      </c>
      <c r="C167" s="144" t="str">
        <f>IFERROR(__xludf.dummyfunction("""COMPUTED_VALUE"""),"MARIA HELLENA DA SILVA LIMA")</f>
        <v>MARIA HELLENA DA SILVA LIMA</v>
      </c>
      <c r="D167" s="90" t="str">
        <f>IFERROR(__xludf.dummyfunction("""COMPUTED_VALUE"""),"11/05/2022")</f>
        <v>11/05/2022</v>
      </c>
      <c r="E167" s="90" t="str">
        <f>IFERROR(__xludf.dummyfunction("""COMPUTED_VALUE"""),"183.573.784-63")</f>
        <v>183.573.784-63</v>
      </c>
      <c r="F167" s="90" t="str">
        <f>IFERROR(__xludf.dummyfunction("""COMPUTED_VALUE"""),"INFANTIL 3")</f>
        <v>INFANTIL 3</v>
      </c>
      <c r="G167" s="90" t="str">
        <f>IFERROR(__xludf.dummyfunction("""COMPUTED_VALUE"""),"CEMEI PROFESSORA MARLUCIA EVANGELISTA DE SOUZA")</f>
        <v>CEMEI PROFESSORA MARLUCIA EVANGELISTA DE SOUZA</v>
      </c>
      <c r="H167" s="90" t="str">
        <f>IFERROR(__xludf.dummyfunction("""COMPUTED_VALUE"""),"REGIONAL 6")</f>
        <v>REGIONAL 6</v>
      </c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ht="15.75" customHeight="1" spans="1:26">
      <c r="A168" s="90" t="str">
        <f>IFERROR(__xludf.dummyfunction("""COMPUTED_VALUE"""),"09/06/2026 13:23:26")</f>
        <v>09/06/2026 13:23:26</v>
      </c>
      <c r="B168" s="90" t="str">
        <f>IFERROR(__xludf.dummyfunction("""COMPUTED_VALUE"""),"4")</f>
        <v>4</v>
      </c>
      <c r="C168" s="144" t="str">
        <f>IFERROR(__xludf.dummyfunction("""COMPUTED_VALUE"""),"Maria Cecília Lima dos Santos")</f>
        <v>Maria Cecília Lima dos Santos</v>
      </c>
      <c r="D168" s="90" t="str">
        <f>IFERROR(__xludf.dummyfunction("""COMPUTED_VALUE"""),"04/01/2023")</f>
        <v>04/01/2023</v>
      </c>
      <c r="E168" s="90" t="str">
        <f>IFERROR(__xludf.dummyfunction("""COMPUTED_VALUE"""),"184.183.674-58")</f>
        <v>184.183.674-58</v>
      </c>
      <c r="F168" s="90" t="str">
        <f>IFERROR(__xludf.dummyfunction("""COMPUTED_VALUE"""),"INFANTIL 3")</f>
        <v>INFANTIL 3</v>
      </c>
      <c r="G168" s="90" t="str">
        <f>IFERROR(__xludf.dummyfunction("""COMPUTED_VALUE"""),"CEMEI PROFESSORA MARLUCIA EVANGELISTA DE SOUZA")</f>
        <v>CEMEI PROFESSORA MARLUCIA EVANGELISTA DE SOUZA</v>
      </c>
      <c r="H168" s="90" t="str">
        <f>IFERROR(__xludf.dummyfunction("""COMPUTED_VALUE"""),"REGIONAL 6")</f>
        <v>REGIONAL 6</v>
      </c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ht="15.75" customHeight="1" spans="1:26">
      <c r="A169" s="90" t="str">
        <f>IFERROR(__xludf.dummyfunction("""COMPUTED_VALUE"""),"25/08/2026 12:01:52")</f>
        <v>25/08/2026 12:01:52</v>
      </c>
      <c r="B169" s="90" t="str">
        <f>IFERROR(__xludf.dummyfunction("""COMPUTED_VALUE"""),"5")</f>
        <v>5</v>
      </c>
      <c r="C169" s="144" t="str">
        <f>IFERROR(__xludf.dummyfunction("""COMPUTED_VALUE"""),"Maria Júlia dos Santos ferreira")</f>
        <v>Maria Júlia dos Santos ferreira</v>
      </c>
      <c r="D169" s="90" t="str">
        <f>IFERROR(__xludf.dummyfunction("""COMPUTED_VALUE"""),"17/08/2022")</f>
        <v>17/08/2022</v>
      </c>
      <c r="E169" s="90" t="str">
        <f>IFERROR(__xludf.dummyfunction("""COMPUTED_VALUE"""),"183.685.014-07")</f>
        <v>183.685.014-07</v>
      </c>
      <c r="F169" s="90" t="str">
        <f>IFERROR(__xludf.dummyfunction("""COMPUTED_VALUE"""),"INFANTIL 3")</f>
        <v>INFANTIL 3</v>
      </c>
      <c r="G169" s="90" t="str">
        <f>IFERROR(__xludf.dummyfunction("""COMPUTED_VALUE"""),"CEMEI PROFESSORA MARLUCIA EVANGELISTA DE SOUZA")</f>
        <v>CEMEI PROFESSORA MARLUCIA EVANGELISTA DE SOUZA</v>
      </c>
      <c r="H169" s="90" t="str">
        <f>IFERROR(__xludf.dummyfunction("""COMPUTED_VALUE"""),"REGIONAL 6")</f>
        <v>REGIONAL 6</v>
      </c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ht="15.75" customHeight="1" spans="1:26">
      <c r="A170" s="90" t="str">
        <f>IFERROR(__xludf.dummyfunction("""COMPUTED_VALUE"""),"31/03/2026 08:33:16")</f>
        <v>31/03/2026 08:33:16</v>
      </c>
      <c r="B170" s="90" t="str">
        <f>IFERROR(__xludf.dummyfunction("""COMPUTED_VALUE"""),"1")</f>
        <v>1</v>
      </c>
      <c r="C170" s="144" t="str">
        <f>IFERROR(__xludf.dummyfunction("""COMPUTED_VALUE"""),"APOLLO GABRIEL BRITO DO NASCIMENTO")</f>
        <v>APOLLO GABRIEL BRITO DO NASCIMENTO</v>
      </c>
      <c r="D170" s="90" t="str">
        <f>IFERROR(__xludf.dummyfunction("""COMPUTED_VALUE"""),"03/02/2023")</f>
        <v>03/02/2023</v>
      </c>
      <c r="E170" s="90" t="str">
        <f>IFERROR(__xludf.dummyfunction("""COMPUTED_VALUE"""),"184.343.404-02")</f>
        <v>184.343.404-02</v>
      </c>
      <c r="F170" s="90" t="str">
        <f>IFERROR(__xludf.dummyfunction("""COMPUTED_VALUE"""),"INFANTIL 3")</f>
        <v>INFANTIL 3</v>
      </c>
      <c r="G170" s="90" t="str">
        <f>IFERROR(__xludf.dummyfunction("""COMPUTED_VALUE"""),"CEMEI PROFESSORA MARLUCIA EVANGELISTA DE SOUZA")</f>
        <v>CEMEI PROFESSORA MARLUCIA EVANGELISTA DE SOUZA</v>
      </c>
      <c r="H170" s="90" t="str">
        <f>IFERROR(__xludf.dummyfunction("""COMPUTED_VALUE"""),"REGIONAL 6")</f>
        <v>REGIONAL 6</v>
      </c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ht="15.75" customHeight="1" spans="1:26">
      <c r="A171" s="90" t="str">
        <f>IFERROR(__xludf.dummyfunction("""COMPUTED_VALUE"""),"17/03/2026 11:53:45")</f>
        <v>17/03/2026 11:53:45</v>
      </c>
      <c r="B171" s="90" t="str">
        <f>IFERROR(__xludf.dummyfunction("""COMPUTED_VALUE"""),"1")</f>
        <v>1</v>
      </c>
      <c r="C171" s="144" t="str">
        <f>IFERROR(__xludf.dummyfunction("""COMPUTED_VALUE"""),"SARA BATISTA DE SOUZA")</f>
        <v>SARA BATISTA DE SOUZA</v>
      </c>
      <c r="D171" s="90" t="str">
        <f>IFERROR(__xludf.dummyfunction("""COMPUTED_VALUE"""),"09/04/2025")</f>
        <v>09/04/2025</v>
      </c>
      <c r="E171" s="90" t="str">
        <f>IFERROR(__xludf.dummyfunction("""COMPUTED_VALUE"""),"005.859.174-50")</f>
        <v>005.859.174-50</v>
      </c>
      <c r="F171" s="90" t="str">
        <f>IFERROR(__xludf.dummyfunction("""COMPUTED_VALUE"""),"INFANTIL 1")</f>
        <v>INFANTIL 1</v>
      </c>
      <c r="G171" s="90" t="str">
        <f>IFERROR(__xludf.dummyfunction("""COMPUTED_VALUE"""),"CEMEI PROFESSORA RAKELLY NOGUEIRA DO NASCIMENTO")</f>
        <v>CEMEI PROFESSORA RAKELLY NOGUEIRA DO NASCIMENTO</v>
      </c>
      <c r="H171" s="90" t="str">
        <f>IFERROR(__xludf.dummyfunction("""COMPUTED_VALUE"""),"REGIONAL 6")</f>
        <v>REGIONAL 6</v>
      </c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ht="15.75" customHeight="1" spans="1:26">
      <c r="A172" s="90" t="str">
        <f>IFERROR(__xludf.dummyfunction("""COMPUTED_VALUE"""),"22/05/2026 09:50:12")</f>
        <v>22/05/2026 09:50:12</v>
      </c>
      <c r="B172" s="90" t="str">
        <f>IFERROR(__xludf.dummyfunction("""COMPUTED_VALUE"""),"2")</f>
        <v>2</v>
      </c>
      <c r="C172" s="144" t="str">
        <f>IFERROR(__xludf.dummyfunction("""COMPUTED_VALUE"""),"Théo Vinícius Galdino dos Santos")</f>
        <v>Théo Vinícius Galdino dos Santos</v>
      </c>
      <c r="D172" s="90" t="str">
        <f>IFERROR(__xludf.dummyfunction("""COMPUTED_VALUE"""),"28/06/2025")</f>
        <v>28/06/2025</v>
      </c>
      <c r="E172" s="90" t="str">
        <f>IFERROR(__xludf.dummyfunction("""COMPUTED_VALUE"""),"006.594.094-61")</f>
        <v>006.594.094-61</v>
      </c>
      <c r="F172" s="90" t="str">
        <f>IFERROR(__xludf.dummyfunction("""COMPUTED_VALUE"""),"INFANTIL 1")</f>
        <v>INFANTIL 1</v>
      </c>
      <c r="G172" s="90" t="str">
        <f>IFERROR(__xludf.dummyfunction("""COMPUTED_VALUE"""),"CEMEI PROFESSORA RAKELLY NOGUEIRA DO NASCIMENTO")</f>
        <v>CEMEI PROFESSORA RAKELLY NOGUEIRA DO NASCIMENTO</v>
      </c>
      <c r="H172" s="90" t="str">
        <f>IFERROR(__xludf.dummyfunction("""COMPUTED_VALUE"""),"REGIONAL 6")</f>
        <v>REGIONAL 6</v>
      </c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ht="15.75" customHeight="1" spans="1:26">
      <c r="A173" s="90" t="str">
        <f>IFERROR(__xludf.dummyfunction("""COMPUTED_VALUE"""),"02/09/2026 08:28:02")</f>
        <v>02/09/2026 08:28:02</v>
      </c>
      <c r="B173" s="90" t="str">
        <f>IFERROR(__xludf.dummyfunction("""COMPUTED_VALUE"""),"3")</f>
        <v>3</v>
      </c>
      <c r="C173" s="144" t="str">
        <f>IFERROR(__xludf.dummyfunction("""COMPUTED_VALUE"""),"Merlya Maria da Silva Andrade")</f>
        <v>Merlya Maria da Silva Andrade</v>
      </c>
      <c r="D173" s="90" t="str">
        <f>IFERROR(__xludf.dummyfunction("""COMPUTED_VALUE"""),"22/04/2025")</f>
        <v>22/04/2025</v>
      </c>
      <c r="E173" s="90" t="str">
        <f>IFERROR(__xludf.dummyfunction("""COMPUTED_VALUE"""),"006.047.624-96")</f>
        <v>006.047.624-96</v>
      </c>
      <c r="F173" s="90" t="str">
        <f>IFERROR(__xludf.dummyfunction("""COMPUTED_VALUE"""),"INFANTIL 1")</f>
        <v>INFANTIL 1</v>
      </c>
      <c r="G173" s="90" t="str">
        <f>IFERROR(__xludf.dummyfunction("""COMPUTED_VALUE"""),"CEMEI PROFESSORA RAKELLY NOGUEIRA DO NASCIMENTO")</f>
        <v>CEMEI PROFESSORA RAKELLY NOGUEIRA DO NASCIMENTO</v>
      </c>
      <c r="H173" s="90" t="str">
        <f>IFERROR(__xludf.dummyfunction("""COMPUTED_VALUE"""),"REGIONAL 6")</f>
        <v>REGIONAL 6</v>
      </c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ht="15.75" customHeight="1" spans="1:26">
      <c r="A174" s="90" t="str">
        <f>IFERROR(__xludf.dummyfunction("""COMPUTED_VALUE"""),"22/09/2026 12:40:29")</f>
        <v>22/09/2026 12:40:29</v>
      </c>
      <c r="B174" s="90" t="str">
        <f>IFERROR(__xludf.dummyfunction("""COMPUTED_VALUE"""),"4")</f>
        <v>4</v>
      </c>
      <c r="C174" s="144" t="str">
        <f>IFERROR(__xludf.dummyfunction("""COMPUTED_VALUE"""),"Dante Vinícius Farias de Melo Andrade")</f>
        <v>Dante Vinícius Farias de Melo Andrade</v>
      </c>
      <c r="D174" s="90" t="str">
        <f>IFERROR(__xludf.dummyfunction("""COMPUTED_VALUE"""),"03/07/2025")</f>
        <v>03/07/2025</v>
      </c>
      <c r="E174" s="90" t="str">
        <f>IFERROR(__xludf.dummyfunction("""COMPUTED_VALUE"""),"006.648.864-85")</f>
        <v>006.648.864-85</v>
      </c>
      <c r="F174" s="90" t="str">
        <f>IFERROR(__xludf.dummyfunction("""COMPUTED_VALUE"""),"INFANTIL 1")</f>
        <v>INFANTIL 1</v>
      </c>
      <c r="G174" s="90" t="str">
        <f>IFERROR(__xludf.dummyfunction("""COMPUTED_VALUE"""),"CEMEI PROFESSORA RAKELLY NOGUEIRA DO NASCIMENTO")</f>
        <v>CEMEI PROFESSORA RAKELLY NOGUEIRA DO NASCIMENTO</v>
      </c>
      <c r="H174" s="90" t="str">
        <f>IFERROR(__xludf.dummyfunction("""COMPUTED_VALUE"""),"REGIONAL 6")</f>
        <v>REGIONAL 6</v>
      </c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ht="15.75" customHeight="1" spans="1:26">
      <c r="A175" s="90" t="str">
        <f>IFERROR(__xludf.dummyfunction("""COMPUTED_VALUE"""),"24/09/2026 07:34:28")</f>
        <v>24/09/2026 07:34:28</v>
      </c>
      <c r="B175" s="90" t="str">
        <f>IFERROR(__xludf.dummyfunction("""COMPUTED_VALUE"""),"5")</f>
        <v>5</v>
      </c>
      <c r="C175" s="144" t="str">
        <f>IFERROR(__xludf.dummyfunction("""COMPUTED_VALUE"""),"Ana Livia Silva de Carvalho")</f>
        <v>Ana Livia Silva de Carvalho</v>
      </c>
      <c r="D175" s="90" t="str">
        <f>IFERROR(__xludf.dummyfunction("""COMPUTED_VALUE"""),"10/09/2024")</f>
        <v>10/09/2024</v>
      </c>
      <c r="E175" s="90" t="str">
        <f>IFERROR(__xludf.dummyfunction("""COMPUTED_VALUE"""),"004.239.994-78")</f>
        <v>004.239.994-78</v>
      </c>
      <c r="F175" s="90" t="str">
        <f>IFERROR(__xludf.dummyfunction("""COMPUTED_VALUE"""),"INFANTIL 1")</f>
        <v>INFANTIL 1</v>
      </c>
      <c r="G175" s="90" t="str">
        <f>IFERROR(__xludf.dummyfunction("""COMPUTED_VALUE"""),"CEMEI PROFESSORA RAKELLY NOGUEIRA DO NASCIMENTO")</f>
        <v>CEMEI PROFESSORA RAKELLY NOGUEIRA DO NASCIMENTO</v>
      </c>
      <c r="H175" s="90" t="str">
        <f>IFERROR(__xludf.dummyfunction("""COMPUTED_VALUE"""),"REGIONAL 6")</f>
        <v>REGIONAL 6</v>
      </c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ht="15.75" customHeight="1" spans="1:26">
      <c r="A176" s="90" t="str">
        <f>IFERROR(__xludf.dummyfunction("""COMPUTED_VALUE"""),"24/09/2026 10:12:12")</f>
        <v>24/09/2026 10:12:12</v>
      </c>
      <c r="B176" s="90" t="str">
        <f>IFERROR(__xludf.dummyfunction("""COMPUTED_VALUE"""),"6")</f>
        <v>6</v>
      </c>
      <c r="C176" s="144" t="str">
        <f>IFERROR(__xludf.dummyfunction("""COMPUTED_VALUE"""),"Isadora Sophia Aguiar Nascimento")</f>
        <v>Isadora Sophia Aguiar Nascimento</v>
      </c>
      <c r="D176" s="90" t="str">
        <f>IFERROR(__xludf.dummyfunction("""COMPUTED_VALUE"""),"01/10/2024")</f>
        <v>01/10/2024</v>
      </c>
      <c r="E176" s="90" t="str">
        <f>IFERROR(__xludf.dummyfunction("""COMPUTED_VALUE"""),"004.246.464-12")</f>
        <v>004.246.464-12</v>
      </c>
      <c r="F176" s="90" t="str">
        <f>IFERROR(__xludf.dummyfunction("""COMPUTED_VALUE"""),"INFANTIL 1")</f>
        <v>INFANTIL 1</v>
      </c>
      <c r="G176" s="90" t="str">
        <f>IFERROR(__xludf.dummyfunction("""COMPUTED_VALUE"""),"CEMEI PROFESSORA RAKELLY NOGUEIRA DO NASCIMENTO")</f>
        <v>CEMEI PROFESSORA RAKELLY NOGUEIRA DO NASCIMENTO</v>
      </c>
      <c r="H176" s="90" t="str">
        <f>IFERROR(__xludf.dummyfunction("""COMPUTED_VALUE"""),"REGIONAL 6")</f>
        <v>REGIONAL 6</v>
      </c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ht="15.75" customHeight="1" spans="1:26">
      <c r="A177" s="90" t="str">
        <f>IFERROR(__xludf.dummyfunction("""COMPUTED_VALUE"""),"27/07/2026 10:15:30")</f>
        <v>27/07/2026 10:15:30</v>
      </c>
      <c r="B177" s="90" t="str">
        <f>IFERROR(__xludf.dummyfunction("""COMPUTED_VALUE"""),"1")</f>
        <v>1</v>
      </c>
      <c r="C177" s="144" t="str">
        <f>IFERROR(__xludf.dummyfunction("""COMPUTED_VALUE"""),"RADASSA SOPHIA SANTOS DE SANTANA")</f>
        <v>RADASSA SOPHIA SANTOS DE SANTANA</v>
      </c>
      <c r="D177" s="90" t="str">
        <f>IFERROR(__xludf.dummyfunction("""COMPUTED_VALUE"""),"24/09/2023")</f>
        <v>24/09/2023</v>
      </c>
      <c r="E177" s="90" t="str">
        <f>IFERROR(__xludf.dummyfunction("""COMPUTED_VALUE"""),"000.024.194-67")</f>
        <v>000.024.194-67</v>
      </c>
      <c r="F177" s="90" t="str">
        <f>IFERROR(__xludf.dummyfunction("""COMPUTED_VALUE"""),"INFANTIL 2")</f>
        <v>INFANTIL 2</v>
      </c>
      <c r="G177" s="90" t="str">
        <f>IFERROR(__xludf.dummyfunction("""COMPUTED_VALUE"""),"CEMEI PROFESSORA RAKELLY NOGUEIRA DO NASCIMENTO")</f>
        <v>CEMEI PROFESSORA RAKELLY NOGUEIRA DO NASCIMENTO</v>
      </c>
      <c r="H177" s="90" t="str">
        <f>IFERROR(__xludf.dummyfunction("""COMPUTED_VALUE"""),"REGIONAL 6")</f>
        <v>REGIONAL 6</v>
      </c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ht="15.75" customHeight="1" spans="1:26">
      <c r="A178" s="90" t="str">
        <f>IFERROR(__xludf.dummyfunction("""COMPUTED_VALUE"""),"07/08/2026 13:26:09")</f>
        <v>07/08/2026 13:26:09</v>
      </c>
      <c r="B178" s="90" t="str">
        <f>IFERROR(__xludf.dummyfunction("""COMPUTED_VALUE"""),"2")</f>
        <v>2</v>
      </c>
      <c r="C178" s="144" t="str">
        <f>IFERROR(__xludf.dummyfunction("""COMPUTED_VALUE"""),"Dandara Saturno Cavalcanti")</f>
        <v>Dandara Saturno Cavalcanti</v>
      </c>
      <c r="D178" s="90" t="str">
        <f>IFERROR(__xludf.dummyfunction("""COMPUTED_VALUE"""),"08/02/2024")</f>
        <v>08/02/2024</v>
      </c>
      <c r="E178" s="90" t="str">
        <f>IFERROR(__xludf.dummyfunction("""COMPUTED_VALUE"""),"005.350.574-31")</f>
        <v>005.350.574-31</v>
      </c>
      <c r="F178" s="90" t="str">
        <f>IFERROR(__xludf.dummyfunction("""COMPUTED_VALUE"""),"INFANTIL 2")</f>
        <v>INFANTIL 2</v>
      </c>
      <c r="G178" s="90" t="str">
        <f>IFERROR(__xludf.dummyfunction("""COMPUTED_VALUE"""),"CEMEI PROFESSORA RAKELLY NOGUEIRA DO NASCIMENTO")</f>
        <v>CEMEI PROFESSORA RAKELLY NOGUEIRA DO NASCIMENTO</v>
      </c>
      <c r="H178" s="90" t="str">
        <f>IFERROR(__xludf.dummyfunction("""COMPUTED_VALUE"""),"REGIONAL 6")</f>
        <v>REGIONAL 6</v>
      </c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ht="15.75" customHeight="1" spans="1:26">
      <c r="A179" s="90" t="str">
        <f>IFERROR(__xludf.dummyfunction("""COMPUTED_VALUE"""),"10/09/2026 11:00:55")</f>
        <v>10/09/2026 11:00:55</v>
      </c>
      <c r="B179" s="90" t="str">
        <f>IFERROR(__xludf.dummyfunction("""COMPUTED_VALUE"""),"3")</f>
        <v>3</v>
      </c>
      <c r="C179" s="144" t="str">
        <f>IFERROR(__xludf.dummyfunction("""COMPUTED_VALUE"""),"Helena Soares da Silva")</f>
        <v>Helena Soares da Silva</v>
      </c>
      <c r="D179" s="90" t="str">
        <f>IFERROR(__xludf.dummyfunction("""COMPUTED_VALUE"""),"29/07/2023")</f>
        <v>29/07/2023</v>
      </c>
      <c r="E179" s="90" t="str">
        <f>IFERROR(__xludf.dummyfunction("""COMPUTED_VALUE"""),"186.113.124-06")</f>
        <v>186.113.124-06</v>
      </c>
      <c r="F179" s="90" t="str">
        <f>IFERROR(__xludf.dummyfunction("""COMPUTED_VALUE"""),"INFANTIL 2")</f>
        <v>INFANTIL 2</v>
      </c>
      <c r="G179" s="90" t="str">
        <f>IFERROR(__xludf.dummyfunction("""COMPUTED_VALUE"""),"CEMEI PROFESSORA RAKELLY NOGUEIRA DO NASCIMENTO")</f>
        <v>CEMEI PROFESSORA RAKELLY NOGUEIRA DO NASCIMENTO</v>
      </c>
      <c r="H179" s="90" t="str">
        <f>IFERROR(__xludf.dummyfunction("""COMPUTED_VALUE"""),"REGIONAL 6")</f>
        <v>REGIONAL 6</v>
      </c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ht="15.75" customHeight="1" spans="1:26">
      <c r="A180" s="90" t="str">
        <f>IFERROR(__xludf.dummyfunction("""COMPUTED_VALUE"""),"02/02/2026 15:26:58")</f>
        <v>02/02/2026 15:26:58</v>
      </c>
      <c r="B180" s="90" t="str">
        <f>IFERROR(__xludf.dummyfunction("""COMPUTED_VALUE"""),"1")</f>
        <v>1</v>
      </c>
      <c r="C180" s="144" t="str">
        <f>IFERROR(__xludf.dummyfunction("""COMPUTED_VALUE"""),"DANIEL LIMA DE ARAUJO")</f>
        <v>DANIEL LIMA DE ARAUJO</v>
      </c>
      <c r="D180" s="90" t="str">
        <f>IFERROR(__xludf.dummyfunction("""COMPUTED_VALUE"""),"14/05/2022")</f>
        <v>14/05/2022</v>
      </c>
      <c r="E180" s="90" t="str">
        <f>IFERROR(__xludf.dummyfunction("""COMPUTED_VALUE"""),"181.750.114-32")</f>
        <v>181.750.114-32</v>
      </c>
      <c r="F180" s="90" t="str">
        <f>IFERROR(__xludf.dummyfunction("""COMPUTED_VALUE"""),"INFANTIL 3")</f>
        <v>INFANTIL 3</v>
      </c>
      <c r="G180" s="90" t="str">
        <f>IFERROR(__xludf.dummyfunction("""COMPUTED_VALUE"""),"CEMEI SANTO AMARO")</f>
        <v>CEMEI SANTO AMARO</v>
      </c>
      <c r="H180" s="90" t="str">
        <f>IFERROR(__xludf.dummyfunction("""COMPUTED_VALUE"""),"REGIONAL 1")</f>
        <v>REGIONAL 1</v>
      </c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ht="15.75" customHeight="1" spans="1:26">
      <c r="A181" s="90" t="str">
        <f>IFERROR(__xludf.dummyfunction("""COMPUTED_VALUE"""),"10/02/2026 08:09:45")</f>
        <v>10/02/2026 08:09:45</v>
      </c>
      <c r="B181" s="90" t="str">
        <f>IFERROR(__xludf.dummyfunction("""COMPUTED_VALUE"""),"2")</f>
        <v>2</v>
      </c>
      <c r="C181" s="144" t="str">
        <f>IFERROR(__xludf.dummyfunction("""COMPUTED_VALUE"""),"ELIZABETH SAMARA FRANÇA DA SILVA")</f>
        <v>ELIZABETH SAMARA FRANÇA DA SILVA</v>
      </c>
      <c r="D181" s="90" t="str">
        <f>IFERROR(__xludf.dummyfunction("""COMPUTED_VALUE"""),"16/05/2022")</f>
        <v>16/05/2022</v>
      </c>
      <c r="E181" s="90" t="str">
        <f>IFERROR(__xludf.dummyfunction("""COMPUTED_VALUE"""),"181.606.774-13")</f>
        <v>181.606.774-13</v>
      </c>
      <c r="F181" s="90" t="str">
        <f>IFERROR(__xludf.dummyfunction("""COMPUTED_VALUE"""),"INFANTIL 3")</f>
        <v>INFANTIL 3</v>
      </c>
      <c r="G181" s="90" t="str">
        <f>IFERROR(__xludf.dummyfunction("""COMPUTED_VALUE"""),"CEMEI SANTO AMARO")</f>
        <v>CEMEI SANTO AMARO</v>
      </c>
      <c r="H181" s="90" t="str">
        <f>IFERROR(__xludf.dummyfunction("""COMPUTED_VALUE"""),"REGIONAL 1")</f>
        <v>REGIONAL 1</v>
      </c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ht="15.75" customHeight="1" spans="1:26">
      <c r="A182" s="90" t="str">
        <f>IFERROR(__xludf.dummyfunction("""COMPUTED_VALUE"""),"24/02/2026 18:34:28")</f>
        <v>24/02/2026 18:34:28</v>
      </c>
      <c r="B182" s="90" t="str">
        <f>IFERROR(__xludf.dummyfunction("""COMPUTED_VALUE"""),"3")</f>
        <v>3</v>
      </c>
      <c r="C182" s="144" t="str">
        <f>IFERROR(__xludf.dummyfunction("""COMPUTED_VALUE"""),"TAIANE FIGUEIRA LIMA DE SOUZA")</f>
        <v>TAIANE FIGUEIRA LIMA DE SOUZA</v>
      </c>
      <c r="D182" s="90" t="str">
        <f>IFERROR(__xludf.dummyfunction("""COMPUTED_VALUE"""),"12/04/2022")</f>
        <v>12/04/2022</v>
      </c>
      <c r="E182" s="90" t="str">
        <f>IFERROR(__xludf.dummyfunction("""COMPUTED_VALUE"""),"181.335.914-81")</f>
        <v>181.335.914-81</v>
      </c>
      <c r="F182" s="90" t="str">
        <f>IFERROR(__xludf.dummyfunction("""COMPUTED_VALUE"""),"INFANTIL 3")</f>
        <v>INFANTIL 3</v>
      </c>
      <c r="G182" s="90" t="str">
        <f>IFERROR(__xludf.dummyfunction("""COMPUTED_VALUE"""),"CEMEI SANTO AMARO")</f>
        <v>CEMEI SANTO AMARO</v>
      </c>
      <c r="H182" s="90" t="str">
        <f>IFERROR(__xludf.dummyfunction("""COMPUTED_VALUE"""),"REGIONAL 1")</f>
        <v>REGIONAL 1</v>
      </c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ht="15.75" customHeight="1" spans="1:26">
      <c r="A183" s="90" t="str">
        <f>IFERROR(__xludf.dummyfunction("""COMPUTED_VALUE"""),"05/08/2026 11:19:31")</f>
        <v>05/08/2026 11:19:31</v>
      </c>
      <c r="B183" s="90" t="str">
        <f>IFERROR(__xludf.dummyfunction("""COMPUTED_VALUE"""),"4")</f>
        <v>4</v>
      </c>
      <c r="C183" s="144" t="str">
        <f>IFERROR(__xludf.dummyfunction("""COMPUTED_VALUE"""),"ISAAC GABRIEL DA SILVA")</f>
        <v>ISAAC GABRIEL DA SILVA</v>
      </c>
      <c r="D183" s="90" t="str">
        <f>IFERROR(__xludf.dummyfunction("""COMPUTED_VALUE"""),"23/04/2022")</f>
        <v>23/04/2022</v>
      </c>
      <c r="E183" s="90" t="str">
        <f>IFERROR(__xludf.dummyfunction("""COMPUTED_VALUE"""),"182.603.884-13")</f>
        <v>182.603.884-13</v>
      </c>
      <c r="F183" s="90" t="str">
        <f>IFERROR(__xludf.dummyfunction("""COMPUTED_VALUE"""),"INFANTIL 3")</f>
        <v>INFANTIL 3</v>
      </c>
      <c r="G183" s="90" t="str">
        <f>IFERROR(__xludf.dummyfunction("""COMPUTED_VALUE"""),"CEMEI SANTO AMARO")</f>
        <v>CEMEI SANTO AMARO</v>
      </c>
      <c r="H183" s="90" t="str">
        <f>IFERROR(__xludf.dummyfunction("""COMPUTED_VALUE"""),"REGIONAL 1")</f>
        <v>REGIONAL 1</v>
      </c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ht="15.75" customHeight="1" spans="1:26">
      <c r="A184" s="90" t="str">
        <f>IFERROR(__xludf.dummyfunction("""COMPUTED_VALUE"""),"21/09/2026 11:12:08")</f>
        <v>21/09/2026 11:12:08</v>
      </c>
      <c r="B184" s="90" t="str">
        <f>IFERROR(__xludf.dummyfunction("""COMPUTED_VALUE"""),"5")</f>
        <v>5</v>
      </c>
      <c r="C184" s="144" t="str">
        <f>IFERROR(__xludf.dummyfunction("""COMPUTED_VALUE"""),"Heitor Bernardo Barros da Silva Santos")</f>
        <v>Heitor Bernardo Barros da Silva Santos</v>
      </c>
      <c r="D184" s="90" t="str">
        <f>IFERROR(__xludf.dummyfunction("""COMPUTED_VALUE"""),"18/10/2022")</f>
        <v>18/10/2022</v>
      </c>
      <c r="E184" s="90" t="str">
        <f>IFERROR(__xludf.dummyfunction("""COMPUTED_VALUE"""),"183.274.014-59")</f>
        <v>183.274.014-59</v>
      </c>
      <c r="F184" s="90" t="str">
        <f>IFERROR(__xludf.dummyfunction("""COMPUTED_VALUE"""),"INFANTIL 3")</f>
        <v>INFANTIL 3</v>
      </c>
      <c r="G184" s="90" t="str">
        <f>IFERROR(__xludf.dummyfunction("""COMPUTED_VALUE"""),"CEMEI SANTO AMARO")</f>
        <v>CEMEI SANTO AMARO</v>
      </c>
      <c r="H184" s="90" t="str">
        <f>IFERROR(__xludf.dummyfunction("""COMPUTED_VALUE"""),"REGIONAL 1")</f>
        <v>REGIONAL 1</v>
      </c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ht="15.75" customHeight="1" spans="1:26">
      <c r="A185" s="90" t="str">
        <f>IFERROR(__xludf.dummyfunction("""COMPUTED_VALUE"""),"13/05/2026 19:48:23")</f>
        <v>13/05/2026 19:48:23</v>
      </c>
      <c r="B185" s="90" t="str">
        <f>IFERROR(__xludf.dummyfunction("""COMPUTED_VALUE"""),"1")</f>
        <v>1</v>
      </c>
      <c r="C185" s="144" t="str">
        <f>IFERROR(__xludf.dummyfunction("""COMPUTED_VALUE"""),"HELLEN VITÓRIA SILVA RODRIGUES")</f>
        <v>HELLEN VITÓRIA SILVA RODRIGUES</v>
      </c>
      <c r="D185" s="90" t="str">
        <f>IFERROR(__xludf.dummyfunction("""COMPUTED_VALUE"""),"09/06/2022")</f>
        <v>09/06/2022</v>
      </c>
      <c r="E185" s="90" t="str">
        <f>IFERROR(__xludf.dummyfunction("""COMPUTED_VALUE"""),"181.887.774-04")</f>
        <v>181.887.774-04</v>
      </c>
      <c r="F185" s="90" t="str">
        <f>IFERROR(__xludf.dummyfunction("""COMPUTED_VALUE"""),"INFANTIL 3")</f>
        <v>INFANTIL 3</v>
      </c>
      <c r="G185" s="90" t="str">
        <f>IFERROR(__xludf.dummyfunction("""COMPUTED_VALUE"""),"CEMEI SANTO AMARO")</f>
        <v>CEMEI SANTO AMARO</v>
      </c>
      <c r="H185" s="90" t="str">
        <f>IFERROR(__xludf.dummyfunction("""COMPUTED_VALUE"""),"REGIONAL 1")</f>
        <v>REGIONAL 1</v>
      </c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ht="15.75" customHeight="1" spans="1:26">
      <c r="A186" s="90" t="str">
        <f>IFERROR(__xludf.dummyfunction("""COMPUTED_VALUE"""),"20/05/2026 10:33:36")</f>
        <v>20/05/2026 10:33:36</v>
      </c>
      <c r="B186" s="90" t="str">
        <f>IFERROR(__xludf.dummyfunction("""COMPUTED_VALUE"""),"2")</f>
        <v>2</v>
      </c>
      <c r="C186" s="144" t="str">
        <f>IFERROR(__xludf.dummyfunction("""COMPUTED_VALUE"""),"BRUNA CECÍLIA DOS IMPOSSÍVEIS GOMES")</f>
        <v>BRUNA CECÍLIA DOS IMPOSSÍVEIS GOMES</v>
      </c>
      <c r="D186" s="90" t="str">
        <f>IFERROR(__xludf.dummyfunction("""COMPUTED_VALUE"""),"02/11/2022")</f>
        <v>02/11/2022</v>
      </c>
      <c r="E186" s="90" t="str">
        <f>IFERROR(__xludf.dummyfunction("""COMPUTED_VALUE"""),"183.419.034-74")</f>
        <v>183.419.034-74</v>
      </c>
      <c r="F186" s="90" t="str">
        <f>IFERROR(__xludf.dummyfunction("""COMPUTED_VALUE"""),"INFANTIL 3")</f>
        <v>INFANTIL 3</v>
      </c>
      <c r="G186" s="90" t="str">
        <f>IFERROR(__xludf.dummyfunction("""COMPUTED_VALUE"""),"CEMEI SANTO AMARO")</f>
        <v>CEMEI SANTO AMARO</v>
      </c>
      <c r="H186" s="90" t="str">
        <f>IFERROR(__xludf.dummyfunction("""COMPUTED_VALUE"""),"REGIONAL 1")</f>
        <v>REGIONAL 1</v>
      </c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ht="15.75" customHeight="1" spans="1:26">
      <c r="A187" s="90" t="str">
        <f>IFERROR(__xludf.dummyfunction("""COMPUTED_VALUE"""),"25/05/2026 08:40:05")</f>
        <v>25/05/2026 08:40:05</v>
      </c>
      <c r="B187" s="90" t="str">
        <f>IFERROR(__xludf.dummyfunction("""COMPUTED_VALUE"""),"3")</f>
        <v>3</v>
      </c>
      <c r="C187" s="144" t="str">
        <f>IFERROR(__xludf.dummyfunction("""COMPUTED_VALUE"""),"Eloá Maria de Moraes prazeres")</f>
        <v>Eloá Maria de Moraes prazeres</v>
      </c>
      <c r="D187" s="90" t="str">
        <f>IFERROR(__xludf.dummyfunction("""COMPUTED_VALUE"""),"25/02/2023")</f>
        <v>25/02/2023</v>
      </c>
      <c r="E187" s="90" t="str">
        <f>IFERROR(__xludf.dummyfunction("""COMPUTED_VALUE"""),"184.570.414-28")</f>
        <v>184.570.414-28</v>
      </c>
      <c r="F187" s="90" t="str">
        <f>IFERROR(__xludf.dummyfunction("""COMPUTED_VALUE"""),"INFANTIL 3")</f>
        <v>INFANTIL 3</v>
      </c>
      <c r="G187" s="90" t="str">
        <f>IFERROR(__xludf.dummyfunction("""COMPUTED_VALUE"""),"CEMEI SANTO AMARO")</f>
        <v>CEMEI SANTO AMARO</v>
      </c>
      <c r="H187" s="90" t="str">
        <f>IFERROR(__xludf.dummyfunction("""COMPUTED_VALUE"""),"REGIONAL 1")</f>
        <v>REGIONAL 1</v>
      </c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ht="15.75" customHeight="1" spans="1:26">
      <c r="A188" s="90" t="str">
        <f>IFERROR(__xludf.dummyfunction("""COMPUTED_VALUE"""),"10/06/2026 07:16:18")</f>
        <v>10/06/2026 07:16:18</v>
      </c>
      <c r="B188" s="90" t="str">
        <f>IFERROR(__xludf.dummyfunction("""COMPUTED_VALUE"""),"4")</f>
        <v>4</v>
      </c>
      <c r="C188" s="144" t="str">
        <f>IFERROR(__xludf.dummyfunction("""COMPUTED_VALUE"""),"APOLO FERRAZ BARBOSA RODRIGUES")</f>
        <v>APOLO FERRAZ BARBOSA RODRIGUES</v>
      </c>
      <c r="D188" s="90" t="str">
        <f>IFERROR(__xludf.dummyfunction("""COMPUTED_VALUE"""),"17/02/2023")</f>
        <v>17/02/2023</v>
      </c>
      <c r="E188" s="90" t="str">
        <f>IFERROR(__xludf.dummyfunction("""COMPUTED_VALUE"""),"184.564.184-12")</f>
        <v>184.564.184-12</v>
      </c>
      <c r="F188" s="90" t="str">
        <f>IFERROR(__xludf.dummyfunction("""COMPUTED_VALUE"""),"INFANTIL 3")</f>
        <v>INFANTIL 3</v>
      </c>
      <c r="G188" s="90" t="str">
        <f>IFERROR(__xludf.dummyfunction("""COMPUTED_VALUE"""),"CEMEI SANTO AMARO")</f>
        <v>CEMEI SANTO AMARO</v>
      </c>
      <c r="H188" s="90" t="str">
        <f>IFERROR(__xludf.dummyfunction("""COMPUTED_VALUE"""),"REGIONAL 1")</f>
        <v>REGIONAL 1</v>
      </c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ht="15.75" customHeight="1" spans="1:26">
      <c r="A189" s="90" t="str">
        <f>IFERROR(__xludf.dummyfunction("""COMPUTED_VALUE"""),"28/01/2026 21:43:18")</f>
        <v>28/01/2026 21:43:18</v>
      </c>
      <c r="B189" s="90" t="str">
        <f>IFERROR(__xludf.dummyfunction("""COMPUTED_VALUE"""),"1")</f>
        <v>1</v>
      </c>
      <c r="C189" s="144" t="str">
        <f>IFERROR(__xludf.dummyfunction("""COMPUTED_VALUE"""),"ALLEFF DAVI DE OLIVEIRA ALVES")</f>
        <v>ALLEFF DAVI DE OLIVEIRA ALVES</v>
      </c>
      <c r="D189" s="90" t="str">
        <f>IFERROR(__xludf.dummyfunction("""COMPUTED_VALUE"""),"10/10/2024")</f>
        <v>10/10/2024</v>
      </c>
      <c r="E189" s="90" t="str">
        <f>IFERROR(__xludf.dummyfunction("""COMPUTED_VALUE"""),"005.136.884-63")</f>
        <v>005.136.884-63</v>
      </c>
      <c r="F189" s="90" t="str">
        <f>IFERROR(__xludf.dummyfunction("""COMPUTED_VALUE"""),"INFANTIL 1")</f>
        <v>INFANTIL 1</v>
      </c>
      <c r="G189" s="90" t="str">
        <f>IFERROR(__xludf.dummyfunction("""COMPUTED_VALUE"""),"CEMEI SILVIA MARIA DE OLIVEIRA")</f>
        <v>CEMEI SILVIA MARIA DE OLIVEIRA</v>
      </c>
      <c r="H189" s="90" t="str">
        <f>IFERROR(__xludf.dummyfunction("""COMPUTED_VALUE"""),"REGIONAL 5")</f>
        <v>REGIONAL 5</v>
      </c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ht="15.75" customHeight="1" spans="1:26">
      <c r="A190" s="90" t="str">
        <f>IFERROR(__xludf.dummyfunction("""COMPUTED_VALUE"""),"17/07/2026 13:01:30")</f>
        <v>17/07/2026 13:01:30</v>
      </c>
      <c r="B190" s="90" t="str">
        <f>IFERROR(__xludf.dummyfunction("""COMPUTED_VALUE"""),"2")</f>
        <v>2</v>
      </c>
      <c r="C190" s="144" t="str">
        <f>IFERROR(__xludf.dummyfunction("""COMPUTED_VALUE"""),"Levi Felipe Soares de lima")</f>
        <v>Levi Felipe Soares de lima</v>
      </c>
      <c r="D190" s="90" t="str">
        <f>IFERROR(__xludf.dummyfunction("""COMPUTED_VALUE"""),"09/11/2025")</f>
        <v>09/11/2025</v>
      </c>
      <c r="E190" s="90" t="str">
        <f>IFERROR(__xludf.dummyfunction("""COMPUTED_VALUE"""),"021.062.804-91")</f>
        <v>021.062.804-91</v>
      </c>
      <c r="F190" s="90" t="str">
        <f>IFERROR(__xludf.dummyfunction("""COMPUTED_VALUE"""),"INFANTIL 1")</f>
        <v>INFANTIL 1</v>
      </c>
      <c r="G190" s="90" t="str">
        <f>IFERROR(__xludf.dummyfunction("""COMPUTED_VALUE"""),"CEMEI SILVIA MARIA DE OLIVEIRA")</f>
        <v>CEMEI SILVIA MARIA DE OLIVEIRA</v>
      </c>
      <c r="H190" s="90" t="str">
        <f>IFERROR(__xludf.dummyfunction("""COMPUTED_VALUE"""),"REGIONAL 5")</f>
        <v>REGIONAL 5</v>
      </c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ht="15.75" customHeight="1" spans="1:26">
      <c r="A191" s="90" t="str">
        <f>IFERROR(__xludf.dummyfunction("""COMPUTED_VALUE"""),"17/07/2026 13:07:15")</f>
        <v>17/07/2026 13:07:15</v>
      </c>
      <c r="B191" s="90" t="str">
        <f>IFERROR(__xludf.dummyfunction("""COMPUTED_VALUE"""),"3")</f>
        <v>3</v>
      </c>
      <c r="C191" s="144" t="str">
        <f>IFERROR(__xludf.dummyfunction("""COMPUTED_VALUE"""),"Linnyk Noah soares de lima")</f>
        <v>Linnyk Noah soares de lima</v>
      </c>
      <c r="D191" s="90" t="str">
        <f>IFERROR(__xludf.dummyfunction("""COMPUTED_VALUE"""),"20/10/2024")</f>
        <v>20/10/2024</v>
      </c>
      <c r="E191" s="90" t="str">
        <f>IFERROR(__xludf.dummyfunction("""COMPUTED_VALUE"""),"005.407.094-50")</f>
        <v>005.407.094-50</v>
      </c>
      <c r="F191" s="90" t="str">
        <f>IFERROR(__xludf.dummyfunction("""COMPUTED_VALUE"""),"INFANTIL 1")</f>
        <v>INFANTIL 1</v>
      </c>
      <c r="G191" s="90" t="str">
        <f>IFERROR(__xludf.dummyfunction("""COMPUTED_VALUE"""),"CEMEI SILVIA MARIA DE OLIVEIRA")</f>
        <v>CEMEI SILVIA MARIA DE OLIVEIRA</v>
      </c>
      <c r="H191" s="90" t="str">
        <f>IFERROR(__xludf.dummyfunction("""COMPUTED_VALUE"""),"REGIONAL 5")</f>
        <v>REGIONAL 5</v>
      </c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ht="15.75" customHeight="1" spans="1:26">
      <c r="A192" s="90" t="str">
        <f>IFERROR(__xludf.dummyfunction("""COMPUTED_VALUE"""),"09/07/2026 10:26:31")</f>
        <v>09/07/2026 10:26:31</v>
      </c>
      <c r="B192" s="90" t="str">
        <f>IFERROR(__xludf.dummyfunction("""COMPUTED_VALUE"""),"1")</f>
        <v>1</v>
      </c>
      <c r="C192" s="144" t="str">
        <f>IFERROR(__xludf.dummyfunction("""COMPUTED_VALUE"""),"HEITOR MIGUEL SILVA DO NASCIMENTO")</f>
        <v>HEITOR MIGUEL SILVA DO NASCIMENTO</v>
      </c>
      <c r="D192" s="90" t="str">
        <f>IFERROR(__xludf.dummyfunction("""COMPUTED_VALUE"""),"19/08/2023")</f>
        <v>19/08/2023</v>
      </c>
      <c r="E192" s="90" t="str">
        <f>IFERROR(__xludf.dummyfunction("""COMPUTED_VALUE"""),"003.760.554-21")</f>
        <v>003.760.554-21</v>
      </c>
      <c r="F192" s="90" t="str">
        <f>IFERROR(__xludf.dummyfunction("""COMPUTED_VALUE"""),"INFANTIL 2")</f>
        <v>INFANTIL 2</v>
      </c>
      <c r="G192" s="90" t="str">
        <f>IFERROR(__xludf.dummyfunction("""COMPUTED_VALUE"""),"CEMEI SILVIA MARIA DE OLIVEIRA")</f>
        <v>CEMEI SILVIA MARIA DE OLIVEIRA</v>
      </c>
      <c r="H192" s="90" t="str">
        <f>IFERROR(__xludf.dummyfunction("""COMPUTED_VALUE"""),"REGIONAL 5")</f>
        <v>REGIONAL 5</v>
      </c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ht="15.75" customHeight="1" spans="1:26">
      <c r="A193" s="90" t="str">
        <f>IFERROR(__xludf.dummyfunction("""COMPUTED_VALUE"""),"02/03/2026 13:05:13")</f>
        <v>02/03/2026 13:05:13</v>
      </c>
      <c r="B193" s="90" t="str">
        <f>IFERROR(__xludf.dummyfunction("""COMPUTED_VALUE"""),"1")</f>
        <v>1</v>
      </c>
      <c r="C193" s="144" t="str">
        <f>IFERROR(__xludf.dummyfunction("""COMPUTED_VALUE"""),"ARIELLY VICTORIA DA SILVA LEANDRO")</f>
        <v>ARIELLY VICTORIA DA SILVA LEANDRO</v>
      </c>
      <c r="D193" s="90" t="str">
        <f>IFERROR(__xludf.dummyfunction("""COMPUTED_VALUE"""),"15/11/2025")</f>
        <v>15/11/2025</v>
      </c>
      <c r="E193" s="90" t="str">
        <f>IFERROR(__xludf.dummyfunction("""COMPUTED_VALUE"""),"024.884.774-00")</f>
        <v>024.884.774-00</v>
      </c>
      <c r="F193" s="90" t="str">
        <f>IFERROR(__xludf.dummyfunction("""COMPUTED_VALUE"""),"INFANTIL 1")</f>
        <v>INFANTIL 1</v>
      </c>
      <c r="G193" s="90" t="str">
        <f>IFERROR(__xludf.dummyfunction("""COMPUTED_VALUE"""),"CENTRO MUNICIPAL DE EDUCAÇÃO INFANTIL MARCOS FREIRE")</f>
        <v>CENTRO MUNICIPAL DE EDUCAÇÃO INFANTIL MARCOS FREIRE</v>
      </c>
      <c r="H193" s="90" t="str">
        <f>IFERROR(__xludf.dummyfunction("""COMPUTED_VALUE"""),"REGIONAL 4")</f>
        <v>REGIONAL 4</v>
      </c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ht="15.75" customHeight="1" spans="1:26">
      <c r="A194" s="90" t="str">
        <f>IFERROR(__xludf.dummyfunction("""COMPUTED_VALUE"""),"03/03/2026 09:31:27")</f>
        <v>03/03/2026 09:31:27</v>
      </c>
      <c r="B194" s="90" t="str">
        <f>IFERROR(__xludf.dummyfunction("""COMPUTED_VALUE"""),"2")</f>
        <v>2</v>
      </c>
      <c r="C194" s="144" t="str">
        <f>IFERROR(__xludf.dummyfunction("""COMPUTED_VALUE"""),"JADE KLARISSE GOMES DO NASCIMENTO")</f>
        <v>JADE KLARISSE GOMES DO NASCIMENTO</v>
      </c>
      <c r="D194" s="90" t="str">
        <f>IFERROR(__xludf.dummyfunction("""COMPUTED_VALUE"""),"25/07/2024")</f>
        <v>25/07/2024</v>
      </c>
      <c r="E194" s="90" t="str">
        <f>IFERROR(__xludf.dummyfunction("""COMPUTED_VALUE"""),"003.669.294-88")</f>
        <v>003.669.294-88</v>
      </c>
      <c r="F194" s="90" t="str">
        <f>IFERROR(__xludf.dummyfunction("""COMPUTED_VALUE"""),"INFANTIL 1")</f>
        <v>INFANTIL 1</v>
      </c>
      <c r="G194" s="90" t="str">
        <f>IFERROR(__xludf.dummyfunction("""COMPUTED_VALUE"""),"CENTRO MUNICIPAL DE EDUCAÇÃO INFANTIL MARCOS FREIRE")</f>
        <v>CENTRO MUNICIPAL DE EDUCAÇÃO INFANTIL MARCOS FREIRE</v>
      </c>
      <c r="H194" s="90" t="str">
        <f>IFERROR(__xludf.dummyfunction("""COMPUTED_VALUE"""),"REGIONAL 4")</f>
        <v>REGIONAL 4</v>
      </c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ht="15.75" customHeight="1" spans="1:26">
      <c r="A195" s="90" t="str">
        <f>IFERROR(__xludf.dummyfunction("""COMPUTED_VALUE"""),"11/03/2026 16:45:43")</f>
        <v>11/03/2026 16:45:43</v>
      </c>
      <c r="B195" s="90" t="str">
        <f>IFERROR(__xludf.dummyfunction("""COMPUTED_VALUE"""),"3")</f>
        <v>3</v>
      </c>
      <c r="C195" s="144" t="str">
        <f>IFERROR(__xludf.dummyfunction("""COMPUTED_VALUE"""),"JOSE CALLEB DA SILVA")</f>
        <v>JOSE CALLEB DA SILVA</v>
      </c>
      <c r="D195" s="90" t="str">
        <f>IFERROR(__xludf.dummyfunction("""COMPUTED_VALUE"""),"13/08/2025")</f>
        <v>13/08/2025</v>
      </c>
      <c r="E195" s="90" t="str">
        <f>IFERROR(__xludf.dummyfunction("""COMPUTED_VALUE"""),"007.131.994-82")</f>
        <v>007.131.994-82</v>
      </c>
      <c r="F195" s="90" t="str">
        <f>IFERROR(__xludf.dummyfunction("""COMPUTED_VALUE"""),"INFANTIL 1")</f>
        <v>INFANTIL 1</v>
      </c>
      <c r="G195" s="90" t="str">
        <f>IFERROR(__xludf.dummyfunction("""COMPUTED_VALUE"""),"CENTRO MUNICIPAL DE EDUCAÇÃO INFANTIL MARCOS FREIRE")</f>
        <v>CENTRO MUNICIPAL DE EDUCAÇÃO INFANTIL MARCOS FREIRE</v>
      </c>
      <c r="H195" s="90" t="str">
        <f>IFERROR(__xludf.dummyfunction("""COMPUTED_VALUE"""),"REGIONAL 4")</f>
        <v>REGIONAL 4</v>
      </c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ht="15.75" customHeight="1" spans="1:26">
      <c r="A196" s="90" t="str">
        <f>IFERROR(__xludf.dummyfunction("""COMPUTED_VALUE"""),"12/03/2026 06:29:35")</f>
        <v>12/03/2026 06:29:35</v>
      </c>
      <c r="B196" s="90" t="str">
        <f>IFERROR(__xludf.dummyfunction("""COMPUTED_VALUE"""),"4")</f>
        <v>4</v>
      </c>
      <c r="C196" s="144" t="str">
        <f>IFERROR(__xludf.dummyfunction("""COMPUTED_VALUE"""),"MARIA ISADORA ALBUQUERQUE DE SANTANA")</f>
        <v>MARIA ISADORA ALBUQUERQUE DE SANTANA</v>
      </c>
      <c r="D196" s="90" t="str">
        <f>IFERROR(__xludf.dummyfunction("""COMPUTED_VALUE"""),"13/02/2025")</f>
        <v>13/02/2025</v>
      </c>
      <c r="E196" s="90" t="str">
        <f>IFERROR(__xludf.dummyfunction("""COMPUTED_VALUE"""),"005.362.524-24")</f>
        <v>005.362.524-24</v>
      </c>
      <c r="F196" s="90" t="str">
        <f>IFERROR(__xludf.dummyfunction("""COMPUTED_VALUE"""),"INFANTIL 1")</f>
        <v>INFANTIL 1</v>
      </c>
      <c r="G196" s="90" t="str">
        <f>IFERROR(__xludf.dummyfunction("""COMPUTED_VALUE"""),"CENTRO MUNICIPAL DE EDUCAÇÃO INFANTIL MARCOS FREIRE")</f>
        <v>CENTRO MUNICIPAL DE EDUCAÇÃO INFANTIL MARCOS FREIRE</v>
      </c>
      <c r="H196" s="90" t="str">
        <f>IFERROR(__xludf.dummyfunction("""COMPUTED_VALUE"""),"REGIONAL 4")</f>
        <v>REGIONAL 4</v>
      </c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ht="15.75" customHeight="1" spans="1:26">
      <c r="A197" s="90" t="str">
        <f>IFERROR(__xludf.dummyfunction("""COMPUTED_VALUE"""),"18/03/2026 11:00:34")</f>
        <v>18/03/2026 11:00:34</v>
      </c>
      <c r="B197" s="90" t="str">
        <f>IFERROR(__xludf.dummyfunction("""COMPUTED_VALUE"""),"5")</f>
        <v>5</v>
      </c>
      <c r="C197" s="144" t="str">
        <f>IFERROR(__xludf.dummyfunction("""COMPUTED_VALUE"""),"BRYAN CALEB DOS SANTOS CORREIA")</f>
        <v>BRYAN CALEB DOS SANTOS CORREIA</v>
      </c>
      <c r="D197" s="90" t="str">
        <f>IFERROR(__xludf.dummyfunction("""COMPUTED_VALUE"""),"28/05/2025")</f>
        <v>28/05/2025</v>
      </c>
      <c r="E197" s="90" t="str">
        <f>IFERROR(__xludf.dummyfunction("""COMPUTED_VALUE"""),"006.316.154-07")</f>
        <v>006.316.154-07</v>
      </c>
      <c r="F197" s="90" t="str">
        <f>IFERROR(__xludf.dummyfunction("""COMPUTED_VALUE"""),"INFANTIL 1")</f>
        <v>INFANTIL 1</v>
      </c>
      <c r="G197" s="90" t="str">
        <f>IFERROR(__xludf.dummyfunction("""COMPUTED_VALUE"""),"CENTRO MUNICIPAL DE EDUCAÇÃO INFANTIL MARCOS FREIRE")</f>
        <v>CENTRO MUNICIPAL DE EDUCAÇÃO INFANTIL MARCOS FREIRE</v>
      </c>
      <c r="H197" s="90" t="str">
        <f>IFERROR(__xludf.dummyfunction("""COMPUTED_VALUE"""),"REGIONAL 4")</f>
        <v>REGIONAL 4</v>
      </c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ht="15.75" customHeight="1" spans="1:26">
      <c r="A198" s="90" t="str">
        <f>IFERROR(__xludf.dummyfunction("""COMPUTED_VALUE"""),"23/03/2026 12:20:04")</f>
        <v>23/03/2026 12:20:04</v>
      </c>
      <c r="B198" s="90" t="str">
        <f>IFERROR(__xludf.dummyfunction("""COMPUTED_VALUE"""),"6")</f>
        <v>6</v>
      </c>
      <c r="C198" s="144" t="str">
        <f>IFERROR(__xludf.dummyfunction("""COMPUTED_VALUE"""),"DALILA DOS SANTOS")</f>
        <v>DALILA DOS SANTOS</v>
      </c>
      <c r="D198" s="90" t="str">
        <f>IFERROR(__xludf.dummyfunction("""COMPUTED_VALUE"""),"09/04/2024")</f>
        <v>09/04/2024</v>
      </c>
      <c r="E198" s="90" t="str">
        <f>IFERROR(__xludf.dummyfunction("""COMPUTED_VALUE"""),"002.673.744-29")</f>
        <v>002.673.744-29</v>
      </c>
      <c r="F198" s="90" t="str">
        <f>IFERROR(__xludf.dummyfunction("""COMPUTED_VALUE"""),"INFANTIL 1")</f>
        <v>INFANTIL 1</v>
      </c>
      <c r="G198" s="90" t="str">
        <f>IFERROR(__xludf.dummyfunction("""COMPUTED_VALUE"""),"CENTRO MUNICIPAL DE EDUCAÇÃO INFANTIL MARCOS FREIRE")</f>
        <v>CENTRO MUNICIPAL DE EDUCAÇÃO INFANTIL MARCOS FREIRE</v>
      </c>
      <c r="H198" s="90" t="str">
        <f>IFERROR(__xludf.dummyfunction("""COMPUTED_VALUE"""),"REGIONAL 4")</f>
        <v>REGIONAL 4</v>
      </c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ht="15.75" customHeight="1" spans="1:26">
      <c r="A199" s="90" t="str">
        <f>IFERROR(__xludf.dummyfunction("""COMPUTED_VALUE"""),"27/03/2026 14:19:05")</f>
        <v>27/03/2026 14:19:05</v>
      </c>
      <c r="B199" s="90" t="str">
        <f>IFERROR(__xludf.dummyfunction("""COMPUTED_VALUE"""),"7")</f>
        <v>7</v>
      </c>
      <c r="C199" s="144" t="str">
        <f>IFERROR(__xludf.dummyfunction("""COMPUTED_VALUE"""),"RAVILA LOUISE CUSTÓDIO ALVES DA SILVA")</f>
        <v>RAVILA LOUISE CUSTÓDIO ALVES DA SILVA</v>
      </c>
      <c r="D199" s="90" t="str">
        <f>IFERROR(__xludf.dummyfunction("""COMPUTED_VALUE"""),"05/12/2024")</f>
        <v>05/12/2024</v>
      </c>
      <c r="E199" s="90" t="str">
        <f>IFERROR(__xludf.dummyfunction("""COMPUTED_VALUE"""),"004.783.134-03")</f>
        <v>004.783.134-03</v>
      </c>
      <c r="F199" s="90" t="str">
        <f>IFERROR(__xludf.dummyfunction("""COMPUTED_VALUE"""),"INFANTIL 1")</f>
        <v>INFANTIL 1</v>
      </c>
      <c r="G199" s="90" t="str">
        <f>IFERROR(__xludf.dummyfunction("""COMPUTED_VALUE"""),"CENTRO MUNICIPAL DE EDUCAÇÃO INFANTIL MARCOS FREIRE")</f>
        <v>CENTRO MUNICIPAL DE EDUCAÇÃO INFANTIL MARCOS FREIRE</v>
      </c>
      <c r="H199" s="90" t="str">
        <f>IFERROR(__xludf.dummyfunction("""COMPUTED_VALUE"""),"REGIONAL 4")</f>
        <v>REGIONAL 4</v>
      </c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ht="15.75" customHeight="1" spans="1:26">
      <c r="A200" s="90" t="str">
        <f>IFERROR(__xludf.dummyfunction("""COMPUTED_VALUE"""),"08/04/2026 10:45:14")</f>
        <v>08/04/2026 10:45:14</v>
      </c>
      <c r="B200" s="90" t="str">
        <f>IFERROR(__xludf.dummyfunction("""COMPUTED_VALUE"""),"8")</f>
        <v>8</v>
      </c>
      <c r="C200" s="144" t="str">
        <f>IFERROR(__xludf.dummyfunction("""COMPUTED_VALUE"""),"THOMÁS SANTIAGO DE LIMA")</f>
        <v>THOMÁS SANTIAGO DE LIMA</v>
      </c>
      <c r="D200" s="90" t="str">
        <f>IFERROR(__xludf.dummyfunction("""COMPUTED_VALUE"""),"28/10/2024")</f>
        <v>28/10/2024</v>
      </c>
      <c r="E200" s="90" t="str">
        <f>IFERROR(__xludf.dummyfunction("""COMPUTED_VALUE"""),"004.437.094-67")</f>
        <v>004.437.094-67</v>
      </c>
      <c r="F200" s="90" t="str">
        <f>IFERROR(__xludf.dummyfunction("""COMPUTED_VALUE"""),"INFANTIL 1")</f>
        <v>INFANTIL 1</v>
      </c>
      <c r="G200" s="90" t="str">
        <f>IFERROR(__xludf.dummyfunction("""COMPUTED_VALUE"""),"CENTRO MUNICIPAL DE EDUCAÇÃO INFANTIL MARCOS FREIRE")</f>
        <v>CENTRO MUNICIPAL DE EDUCAÇÃO INFANTIL MARCOS FREIRE</v>
      </c>
      <c r="H200" s="90" t="str">
        <f>IFERROR(__xludf.dummyfunction("""COMPUTED_VALUE"""),"REGIONAL 4")</f>
        <v>REGIONAL 4</v>
      </c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ht="15.75" customHeight="1" spans="1:26">
      <c r="A201" s="90" t="str">
        <f>IFERROR(__xludf.dummyfunction("""COMPUTED_VALUE"""),"14/04/2026 09:51:21")</f>
        <v>14/04/2026 09:51:21</v>
      </c>
      <c r="B201" s="90" t="str">
        <f>IFERROR(__xludf.dummyfunction("""COMPUTED_VALUE"""),"9")</f>
        <v>9</v>
      </c>
      <c r="C201" s="144" t="str">
        <f>IFERROR(__xludf.dummyfunction("""COMPUTED_VALUE"""),"MAYAH GABRYELLY PATRIARCA DE LIMA")</f>
        <v>MAYAH GABRYELLY PATRIARCA DE LIMA</v>
      </c>
      <c r="D201" s="90" t="str">
        <f>IFERROR(__xludf.dummyfunction("""COMPUTED_VALUE"""),"25/08/2025")</f>
        <v>25/08/2025</v>
      </c>
      <c r="E201" s="90" t="str">
        <f>IFERROR(__xludf.dummyfunction("""COMPUTED_VALUE"""),"014.136.034-83")</f>
        <v>014.136.034-83</v>
      </c>
      <c r="F201" s="90" t="str">
        <f>IFERROR(__xludf.dummyfunction("""COMPUTED_VALUE"""),"INFANTIL 1")</f>
        <v>INFANTIL 1</v>
      </c>
      <c r="G201" s="90" t="str">
        <f>IFERROR(__xludf.dummyfunction("""COMPUTED_VALUE"""),"CENTRO MUNICIPAL DE EDUCAÇÃO INFANTIL MARCOS FREIRE")</f>
        <v>CENTRO MUNICIPAL DE EDUCAÇÃO INFANTIL MARCOS FREIRE</v>
      </c>
      <c r="H201" s="90" t="str">
        <f>IFERROR(__xludf.dummyfunction("""COMPUTED_VALUE"""),"REGIONAL 4")</f>
        <v>REGIONAL 4</v>
      </c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ht="15.75" customHeight="1" spans="1:26">
      <c r="A202" s="90" t="str">
        <f>IFERROR(__xludf.dummyfunction("""COMPUTED_VALUE"""),"15/04/2026 16:58:08")</f>
        <v>15/04/2026 16:58:08</v>
      </c>
      <c r="B202" s="90" t="str">
        <f>IFERROR(__xludf.dummyfunction("""COMPUTED_VALUE"""),"10")</f>
        <v>10</v>
      </c>
      <c r="C202" s="144" t="str">
        <f>IFERROR(__xludf.dummyfunction("""COMPUTED_VALUE"""),"EVANGELINE MENDES DA SILVA")</f>
        <v>EVANGELINE MENDES DA SILVA</v>
      </c>
      <c r="D202" s="90" t="str">
        <f>IFERROR(__xludf.dummyfunction("""COMPUTED_VALUE"""),"12/02/2025")</f>
        <v>12/02/2025</v>
      </c>
      <c r="E202" s="90" t="str">
        <f>IFERROR(__xludf.dummyfunction("""COMPUTED_VALUE"""),"050.824.554-00")</f>
        <v>050.824.554-00</v>
      </c>
      <c r="F202" s="90" t="str">
        <f>IFERROR(__xludf.dummyfunction("""COMPUTED_VALUE"""),"INFANTIL 1")</f>
        <v>INFANTIL 1</v>
      </c>
      <c r="G202" s="90" t="str">
        <f>IFERROR(__xludf.dummyfunction("""COMPUTED_VALUE"""),"CENTRO MUNICIPAL DE EDUCAÇÃO INFANTIL MARCOS FREIRE")</f>
        <v>CENTRO MUNICIPAL DE EDUCAÇÃO INFANTIL MARCOS FREIRE</v>
      </c>
      <c r="H202" s="90" t="str">
        <f>IFERROR(__xludf.dummyfunction("""COMPUTED_VALUE"""),"REGIONAL 4")</f>
        <v>REGIONAL 4</v>
      </c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ht="15.75" customHeight="1" spans="1:26">
      <c r="A203" s="90" t="str">
        <f>IFERROR(__xludf.dummyfunction("""COMPUTED_VALUE"""),"11/05/2026 14:39:32")</f>
        <v>11/05/2026 14:39:32</v>
      </c>
      <c r="B203" s="90" t="str">
        <f>IFERROR(__xludf.dummyfunction("""COMPUTED_VALUE"""),"11")</f>
        <v>11</v>
      </c>
      <c r="C203" s="144" t="str">
        <f>IFERROR(__xludf.dummyfunction("""COMPUTED_VALUE"""),"JADE HELENA PARAISO DE ASSIS")</f>
        <v>JADE HELENA PARAISO DE ASSIS</v>
      </c>
      <c r="D203" s="90" t="str">
        <f>IFERROR(__xludf.dummyfunction("""COMPUTED_VALUE"""),"11/07/2024")</f>
        <v>11/07/2024</v>
      </c>
      <c r="E203" s="90" t="str">
        <f>IFERROR(__xludf.dummyfunction("""COMPUTED_VALUE"""),"003.489.334-28")</f>
        <v>003.489.334-28</v>
      </c>
      <c r="F203" s="90" t="str">
        <f>IFERROR(__xludf.dummyfunction("""COMPUTED_VALUE"""),"INFANTIL 1")</f>
        <v>INFANTIL 1</v>
      </c>
      <c r="G203" s="90" t="str">
        <f>IFERROR(__xludf.dummyfunction("""COMPUTED_VALUE"""),"CENTRO MUNICIPAL DE EDUCAÇÃO INFANTIL MARCOS FREIRE")</f>
        <v>CENTRO MUNICIPAL DE EDUCAÇÃO INFANTIL MARCOS FREIRE</v>
      </c>
      <c r="H203" s="90" t="str">
        <f>IFERROR(__xludf.dummyfunction("""COMPUTED_VALUE"""),"REGIONAL 4")</f>
        <v>REGIONAL 4</v>
      </c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ht="15.75" customHeight="1" spans="1:26">
      <c r="A204" s="90" t="str">
        <f>IFERROR(__xludf.dummyfunction("""COMPUTED_VALUE"""),"26/05/2026 13:30:04")</f>
        <v>26/05/2026 13:30:04</v>
      </c>
      <c r="B204" s="90" t="str">
        <f>IFERROR(__xludf.dummyfunction("""COMPUTED_VALUE"""),"12")</f>
        <v>12</v>
      </c>
      <c r="C204" s="144" t="str">
        <f>IFERROR(__xludf.dummyfunction("""COMPUTED_VALUE"""),"MERLYA VITORIA DA SILVA FERNANDES")</f>
        <v>MERLYA VITORIA DA SILVA FERNANDES</v>
      </c>
      <c r="D204" s="90" t="str">
        <f>IFERROR(__xludf.dummyfunction("""COMPUTED_VALUE"""),"14/05/2025")</f>
        <v>14/05/2025</v>
      </c>
      <c r="E204" s="90" t="str">
        <f>IFERROR(__xludf.dummyfunction("""COMPUTED_VALUE"""),"006.677.104-85")</f>
        <v>006.677.104-85</v>
      </c>
      <c r="F204" s="90" t="str">
        <f>IFERROR(__xludf.dummyfunction("""COMPUTED_VALUE"""),"INFANTIL 1")</f>
        <v>INFANTIL 1</v>
      </c>
      <c r="G204" s="90" t="str">
        <f>IFERROR(__xludf.dummyfunction("""COMPUTED_VALUE"""),"CENTRO MUNICIPAL DE EDUCAÇÃO INFANTIL MARCOS FREIRE")</f>
        <v>CENTRO MUNICIPAL DE EDUCAÇÃO INFANTIL MARCOS FREIRE</v>
      </c>
      <c r="H204" s="90" t="str">
        <f>IFERROR(__xludf.dummyfunction("""COMPUTED_VALUE"""),"REGIONAL 4")</f>
        <v>REGIONAL 4</v>
      </c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ht="15.75" customHeight="1" spans="1:26">
      <c r="A205" s="90" t="str">
        <f>IFERROR(__xludf.dummyfunction("""COMPUTED_VALUE"""),"03/06/2026 08:39:17")</f>
        <v>03/06/2026 08:39:17</v>
      </c>
      <c r="B205" s="90" t="str">
        <f>IFERROR(__xludf.dummyfunction("""COMPUTED_VALUE"""),"13")</f>
        <v>13</v>
      </c>
      <c r="C205" s="144" t="str">
        <f>IFERROR(__xludf.dummyfunction("""COMPUTED_VALUE"""),"BRYAN GABRIEL CARNEIRO DE LIMA")</f>
        <v>BRYAN GABRIEL CARNEIRO DE LIMA</v>
      </c>
      <c r="D205" s="90" t="str">
        <f>IFERROR(__xludf.dummyfunction("""COMPUTED_VALUE"""),"21/07/2024")</f>
        <v>21/07/2024</v>
      </c>
      <c r="E205" s="90" t="str">
        <f>IFERROR(__xludf.dummyfunction("""COMPUTED_VALUE"""),"003.558.374-63")</f>
        <v>003.558.374-63</v>
      </c>
      <c r="F205" s="90" t="str">
        <f>IFERROR(__xludf.dummyfunction("""COMPUTED_VALUE"""),"INFANTIL 1")</f>
        <v>INFANTIL 1</v>
      </c>
      <c r="G205" s="90" t="str">
        <f>IFERROR(__xludf.dummyfunction("""COMPUTED_VALUE"""),"CENTRO MUNICIPAL DE EDUCAÇÃO INFANTIL MARCOS FREIRE")</f>
        <v>CENTRO MUNICIPAL DE EDUCAÇÃO INFANTIL MARCOS FREIRE</v>
      </c>
      <c r="H205" s="90" t="str">
        <f>IFERROR(__xludf.dummyfunction("""COMPUTED_VALUE"""),"REGIONAL 4")</f>
        <v>REGIONAL 4</v>
      </c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ht="15.75" customHeight="1" spans="1:26">
      <c r="A206" s="90" t="str">
        <f>IFERROR(__xludf.dummyfunction("""COMPUTED_VALUE"""),"13/06/2026 12:51:02")</f>
        <v>13/06/2026 12:51:02</v>
      </c>
      <c r="B206" s="90" t="str">
        <f>IFERROR(__xludf.dummyfunction("""COMPUTED_VALUE"""),"14")</f>
        <v>14</v>
      </c>
      <c r="C206" s="144" t="str">
        <f>IFERROR(__xludf.dummyfunction("""COMPUTED_VALUE"""),"Liz Helena de Lima Ferreira")</f>
        <v>Liz Helena de Lima Ferreira</v>
      </c>
      <c r="D206" s="90" t="str">
        <f>IFERROR(__xludf.dummyfunction("""COMPUTED_VALUE"""),"29/05/2025")</f>
        <v>29/05/2025</v>
      </c>
      <c r="E206" s="90" t="str">
        <f>IFERROR(__xludf.dummyfunction("""COMPUTED_VALUE"""),"006.363.494-54")</f>
        <v>006.363.494-54</v>
      </c>
      <c r="F206" s="90" t="str">
        <f>IFERROR(__xludf.dummyfunction("""COMPUTED_VALUE"""),"INFANTIL 1")</f>
        <v>INFANTIL 1</v>
      </c>
      <c r="G206" s="90" t="str">
        <f>IFERROR(__xludf.dummyfunction("""COMPUTED_VALUE"""),"CENTRO MUNICIPAL DE EDUCAÇÃO INFANTIL MARCOS FREIRE")</f>
        <v>CENTRO MUNICIPAL DE EDUCAÇÃO INFANTIL MARCOS FREIRE</v>
      </c>
      <c r="H206" s="90" t="str">
        <f>IFERROR(__xludf.dummyfunction("""COMPUTED_VALUE"""),"REGIONAL 4")</f>
        <v>REGIONAL 4</v>
      </c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ht="15.75" customHeight="1" spans="1:26">
      <c r="A207" s="90" t="str">
        <f>IFERROR(__xludf.dummyfunction("""COMPUTED_VALUE"""),"01/07/2026 15:14:07")</f>
        <v>01/07/2026 15:14:07</v>
      </c>
      <c r="B207" s="90" t="str">
        <f>IFERROR(__xludf.dummyfunction("""COMPUTED_VALUE"""),"15")</f>
        <v>15</v>
      </c>
      <c r="C207" s="144" t="str">
        <f>IFERROR(__xludf.dummyfunction("""COMPUTED_VALUE"""),"MAYA D'ÁVILA SANTOS DE SOUZA")</f>
        <v>MAYA D'ÁVILA SANTOS DE SOUZA</v>
      </c>
      <c r="D207" s="90" t="str">
        <f>IFERROR(__xludf.dummyfunction("""COMPUTED_VALUE"""),"12/01/2025")</f>
        <v>12/01/2025</v>
      </c>
      <c r="E207" s="90" t="str">
        <f>IFERROR(__xludf.dummyfunction("""COMPUTED_VALUE"""),"124.118.271-05")</f>
        <v>124.118.271-05</v>
      </c>
      <c r="F207" s="90" t="str">
        <f>IFERROR(__xludf.dummyfunction("""COMPUTED_VALUE"""),"INFANTIL 1")</f>
        <v>INFANTIL 1</v>
      </c>
      <c r="G207" s="90" t="str">
        <f>IFERROR(__xludf.dummyfunction("""COMPUTED_VALUE"""),"CENTRO MUNICIPAL DE EDUCAÇÃO INFANTIL MARCOS FREIRE")</f>
        <v>CENTRO MUNICIPAL DE EDUCAÇÃO INFANTIL MARCOS FREIRE</v>
      </c>
      <c r="H207" s="90" t="str">
        <f>IFERROR(__xludf.dummyfunction("""COMPUTED_VALUE"""),"REGIONAL 4")</f>
        <v>REGIONAL 4</v>
      </c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ht="15.75" customHeight="1" spans="1:26">
      <c r="A208" s="90" t="str">
        <f>IFERROR(__xludf.dummyfunction("""COMPUTED_VALUE"""),"03/07/2026 16:18:13")</f>
        <v>03/07/2026 16:18:13</v>
      </c>
      <c r="B208" s="90" t="str">
        <f>IFERROR(__xludf.dummyfunction("""COMPUTED_VALUE"""),"16")</f>
        <v>16</v>
      </c>
      <c r="C208" s="144" t="str">
        <f>IFERROR(__xludf.dummyfunction("""COMPUTED_VALUE"""),"Rodrigo Apolinário Correia Lima")</f>
        <v>Rodrigo Apolinário Correia Lima</v>
      </c>
      <c r="D208" s="90" t="str">
        <f>IFERROR(__xludf.dummyfunction("""COMPUTED_VALUE"""),"26/07/2024")</f>
        <v>26/07/2024</v>
      </c>
      <c r="E208" s="90" t="str">
        <f>IFERROR(__xludf.dummyfunction("""COMPUTED_VALUE"""),"003.624.734-04")</f>
        <v>003.624.734-04</v>
      </c>
      <c r="F208" s="90" t="str">
        <f>IFERROR(__xludf.dummyfunction("""COMPUTED_VALUE"""),"INFANTIL 1")</f>
        <v>INFANTIL 1</v>
      </c>
      <c r="G208" s="90" t="str">
        <f>IFERROR(__xludf.dummyfunction("""COMPUTED_VALUE"""),"CENTRO MUNICIPAL DE EDUCAÇÃO INFANTIL MARCOS FREIRE")</f>
        <v>CENTRO MUNICIPAL DE EDUCAÇÃO INFANTIL MARCOS FREIRE</v>
      </c>
      <c r="H208" s="90" t="str">
        <f>IFERROR(__xludf.dummyfunction("""COMPUTED_VALUE"""),"REGIONAL 4")</f>
        <v>REGIONAL 4</v>
      </c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ht="15.75" customHeight="1" spans="1:26">
      <c r="A209" s="90" t="str">
        <f>IFERROR(__xludf.dummyfunction("""COMPUTED_VALUE"""),"28/07/2026 10:16:21")</f>
        <v>28/07/2026 10:16:21</v>
      </c>
      <c r="B209" s="90" t="str">
        <f>IFERROR(__xludf.dummyfunction("""COMPUTED_VALUE"""),"17")</f>
        <v>17</v>
      </c>
      <c r="C209" s="144" t="str">
        <f>IFERROR(__xludf.dummyfunction("""COMPUTED_VALUE"""),"astrid torres de oliveira")</f>
        <v>astrid torres de oliveira</v>
      </c>
      <c r="D209" s="90" t="str">
        <f>IFERROR(__xludf.dummyfunction("""COMPUTED_VALUE"""),"25/04/2024")</f>
        <v>25/04/2024</v>
      </c>
      <c r="E209" s="90" t="str">
        <f>IFERROR(__xludf.dummyfunction("""COMPUTED_VALUE"""),"002.751.294-03")</f>
        <v>002.751.294-03</v>
      </c>
      <c r="F209" s="90" t="str">
        <f>IFERROR(__xludf.dummyfunction("""COMPUTED_VALUE"""),"INFANTIL 1")</f>
        <v>INFANTIL 1</v>
      </c>
      <c r="G209" s="90" t="str">
        <f>IFERROR(__xludf.dummyfunction("""COMPUTED_VALUE"""),"CENTRO MUNICIPAL DE EDUCAÇÃO INFANTIL MARCOS FREIRE")</f>
        <v>CENTRO MUNICIPAL DE EDUCAÇÃO INFANTIL MARCOS FREIRE</v>
      </c>
      <c r="H209" s="90" t="str">
        <f>IFERROR(__xludf.dummyfunction("""COMPUTED_VALUE"""),"REGIONAL 4")</f>
        <v>REGIONAL 4</v>
      </c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ht="15.75" customHeight="1" spans="1:26">
      <c r="A210" s="90" t="str">
        <f>IFERROR(__xludf.dummyfunction("""COMPUTED_VALUE"""),"06/08/2026 14:52:11")</f>
        <v>06/08/2026 14:52:11</v>
      </c>
      <c r="B210" s="90" t="str">
        <f>IFERROR(__xludf.dummyfunction("""COMPUTED_VALUE"""),"18")</f>
        <v>18</v>
      </c>
      <c r="C210" s="144" t="str">
        <f>IFERROR(__xludf.dummyfunction("""COMPUTED_VALUE"""),"GEANE ALMEIDA DO MONTE")</f>
        <v>GEANE ALMEIDA DO MONTE</v>
      </c>
      <c r="D210" s="90" t="str">
        <f>IFERROR(__xludf.dummyfunction("""COMPUTED_VALUE"""),"20/01/2025")</f>
        <v>20/01/2025</v>
      </c>
      <c r="E210" s="90" t="str">
        <f>IFERROR(__xludf.dummyfunction("""COMPUTED_VALUE"""),"005.251.224-00")</f>
        <v>005.251.224-00</v>
      </c>
      <c r="F210" s="90" t="str">
        <f>IFERROR(__xludf.dummyfunction("""COMPUTED_VALUE"""),"INFANTIL 1")</f>
        <v>INFANTIL 1</v>
      </c>
      <c r="G210" s="90" t="str">
        <f>IFERROR(__xludf.dummyfunction("""COMPUTED_VALUE"""),"CENTRO MUNICIPAL DE EDUCAÇÃO INFANTIL MARCOS FREIRE")</f>
        <v>CENTRO MUNICIPAL DE EDUCAÇÃO INFANTIL MARCOS FREIRE</v>
      </c>
      <c r="H210" s="90" t="str">
        <f>IFERROR(__xludf.dummyfunction("""COMPUTED_VALUE"""),"REGIONAL 4")</f>
        <v>REGIONAL 4</v>
      </c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ht="15.75" customHeight="1" spans="1:26">
      <c r="A211" s="90" t="str">
        <f>IFERROR(__xludf.dummyfunction("""COMPUTED_VALUE"""),"06/08/2026 16:03:25")</f>
        <v>06/08/2026 16:03:25</v>
      </c>
      <c r="B211" s="90" t="str">
        <f>IFERROR(__xludf.dummyfunction("""COMPUTED_VALUE"""),"19")</f>
        <v>19</v>
      </c>
      <c r="C211" s="144" t="str">
        <f>IFERROR(__xludf.dummyfunction("""COMPUTED_VALUE"""),"MAYA GABRIELE DA SILVA SOARES")</f>
        <v>MAYA GABRIELE DA SILVA SOARES</v>
      </c>
      <c r="D211" s="90" t="str">
        <f>IFERROR(__xludf.dummyfunction("""COMPUTED_VALUE"""),"07/08/2025")</f>
        <v>07/08/2025</v>
      </c>
      <c r="E211" s="90" t="str">
        <f>IFERROR(__xludf.dummyfunction("""COMPUTED_VALUE"""),"006.990.214-30")</f>
        <v>006.990.214-30</v>
      </c>
      <c r="F211" s="90" t="str">
        <f>IFERROR(__xludf.dummyfunction("""COMPUTED_VALUE"""),"INFANTIL 1")</f>
        <v>INFANTIL 1</v>
      </c>
      <c r="G211" s="90" t="str">
        <f>IFERROR(__xludf.dummyfunction("""COMPUTED_VALUE"""),"CENTRO MUNICIPAL DE EDUCAÇÃO INFANTIL MARCOS FREIRE")</f>
        <v>CENTRO MUNICIPAL DE EDUCAÇÃO INFANTIL MARCOS FREIRE</v>
      </c>
      <c r="H211" s="90" t="str">
        <f>IFERROR(__xludf.dummyfunction("""COMPUTED_VALUE"""),"REGIONAL 4")</f>
        <v>REGIONAL 4</v>
      </c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ht="15.75" customHeight="1" spans="1:26">
      <c r="A212" s="90" t="str">
        <f>IFERROR(__xludf.dummyfunction("""COMPUTED_VALUE"""),"04/09/2026 12:15:39")</f>
        <v>04/09/2026 12:15:39</v>
      </c>
      <c r="B212" s="90" t="str">
        <f>IFERROR(__xludf.dummyfunction("""COMPUTED_VALUE"""),"20")</f>
        <v>20</v>
      </c>
      <c r="C212" s="144" t="str">
        <f>IFERROR(__xludf.dummyfunction("""COMPUTED_VALUE"""),"thales diniz da silva")</f>
        <v>thales diniz da silva</v>
      </c>
      <c r="D212" s="90" t="str">
        <f>IFERROR(__xludf.dummyfunction("""COMPUTED_VALUE"""),"11/03/2025")</f>
        <v>11/03/2025</v>
      </c>
      <c r="E212" s="90" t="str">
        <f>IFERROR(__xludf.dummyfunction("""COMPUTED_VALUE"""),"005.613.464-96")</f>
        <v>005.613.464-96</v>
      </c>
      <c r="F212" s="90" t="str">
        <f>IFERROR(__xludf.dummyfunction("""COMPUTED_VALUE"""),"INFANTIL 1")</f>
        <v>INFANTIL 1</v>
      </c>
      <c r="G212" s="90" t="str">
        <f>IFERROR(__xludf.dummyfunction("""COMPUTED_VALUE"""),"CENTRO MUNICIPAL DE EDUCAÇÃO INFANTIL MARCOS FREIRE")</f>
        <v>CENTRO MUNICIPAL DE EDUCAÇÃO INFANTIL MARCOS FREIRE</v>
      </c>
      <c r="H212" s="90" t="str">
        <f>IFERROR(__xludf.dummyfunction("""COMPUTED_VALUE"""),"REGIONAL 4")</f>
        <v>REGIONAL 4</v>
      </c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ht="15.75" customHeight="1" spans="1:26">
      <c r="A213" s="90" t="str">
        <f>IFERROR(__xludf.dummyfunction("""COMPUTED_VALUE"""),"10/09/2026 17:24:43")</f>
        <v>10/09/2026 17:24:43</v>
      </c>
      <c r="B213" s="90" t="str">
        <f>IFERROR(__xludf.dummyfunction("""COMPUTED_VALUE"""),"21")</f>
        <v>21</v>
      </c>
      <c r="C213" s="144" t="str">
        <f>IFERROR(__xludf.dummyfunction("""COMPUTED_VALUE"""),"William Miguel da Silva")</f>
        <v>William Miguel da Silva</v>
      </c>
      <c r="D213" s="90" t="str">
        <f>IFERROR(__xludf.dummyfunction("""COMPUTED_VALUE"""),"18/06/2026")</f>
        <v>18/06/2026</v>
      </c>
      <c r="E213" s="90" t="str">
        <f>IFERROR(__xludf.dummyfunction("""COMPUTED_VALUE"""),"114.740.924-20")</f>
        <v>114.740.924-20</v>
      </c>
      <c r="F213" s="90" t="str">
        <f>IFERROR(__xludf.dummyfunction("""COMPUTED_VALUE"""),"INFANTIL 1")</f>
        <v>INFANTIL 1</v>
      </c>
      <c r="G213" s="90" t="str">
        <f>IFERROR(__xludf.dummyfunction("""COMPUTED_VALUE"""),"CENTRO MUNICIPAL DE EDUCAÇÃO INFANTIL MARCOS FREIRE")</f>
        <v>CENTRO MUNICIPAL DE EDUCAÇÃO INFANTIL MARCOS FREIRE</v>
      </c>
      <c r="H213" s="90" t="str">
        <f>IFERROR(__xludf.dummyfunction("""COMPUTED_VALUE"""),"REGIONAL 4")</f>
        <v>REGIONAL 4</v>
      </c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ht="15.75" customHeight="1" spans="1:26">
      <c r="A214" s="90" t="str">
        <f>IFERROR(__xludf.dummyfunction("""COMPUTED_VALUE"""),"04/03/2026 14:46:15")</f>
        <v>04/03/2026 14:46:15</v>
      </c>
      <c r="B214" s="90" t="str">
        <f>IFERROR(__xludf.dummyfunction("""COMPUTED_VALUE"""),"1")</f>
        <v>1</v>
      </c>
      <c r="C214" s="144" t="str">
        <f>IFERROR(__xludf.dummyfunction("""COMPUTED_VALUE"""),"JOÃO MIGUEL DE LIMA CAVALCANTI")</f>
        <v>JOÃO MIGUEL DE LIMA CAVALCANTI</v>
      </c>
      <c r="D214" s="90" t="str">
        <f>IFERROR(__xludf.dummyfunction("""COMPUTED_VALUE"""),"22/07/2023")</f>
        <v>22/07/2023</v>
      </c>
      <c r="E214" s="90" t="str">
        <f>IFERROR(__xludf.dummyfunction("""COMPUTED_VALUE"""),"234.344.727-62")</f>
        <v>234.344.727-62</v>
      </c>
      <c r="F214" s="90" t="str">
        <f>IFERROR(__xludf.dummyfunction("""COMPUTED_VALUE"""),"INFANTIL 2")</f>
        <v>INFANTIL 2</v>
      </c>
      <c r="G214" s="90" t="str">
        <f>IFERROR(__xludf.dummyfunction("""COMPUTED_VALUE"""),"CENTRO MUNICIPAL DE EDUCAÇÃO INFANTIL MARCOS FREIRE")</f>
        <v>CENTRO MUNICIPAL DE EDUCAÇÃO INFANTIL MARCOS FREIRE</v>
      </c>
      <c r="H214" s="90" t="str">
        <f>IFERROR(__xludf.dummyfunction("""COMPUTED_VALUE"""),"REGIONAL 4")</f>
        <v>REGIONAL 4</v>
      </c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ht="15.75" customHeight="1" spans="1:26">
      <c r="A215" s="90" t="str">
        <f>IFERROR(__xludf.dummyfunction("""COMPUTED_VALUE"""),"20/03/2026 08:02:42")</f>
        <v>20/03/2026 08:02:42</v>
      </c>
      <c r="B215" s="90" t="str">
        <f>IFERROR(__xludf.dummyfunction("""COMPUTED_VALUE"""),"2")</f>
        <v>2</v>
      </c>
      <c r="C215" s="144" t="str">
        <f>IFERROR(__xludf.dummyfunction("""COMPUTED_VALUE"""),"DAVI PIETRO DA SILVA BARBOSA")</f>
        <v>DAVI PIETRO DA SILVA BARBOSA</v>
      </c>
      <c r="D215" s="90" t="str">
        <f>IFERROR(__xludf.dummyfunction("""COMPUTED_VALUE"""),"17/01/2024")</f>
        <v>17/01/2024</v>
      </c>
      <c r="E215" s="90" t="str">
        <f>IFERROR(__xludf.dummyfunction("""COMPUTED_VALUE"""),"001.594.054-32")</f>
        <v>001.594.054-32</v>
      </c>
      <c r="F215" s="90" t="str">
        <f>IFERROR(__xludf.dummyfunction("""COMPUTED_VALUE"""),"INFANTIL 2")</f>
        <v>INFANTIL 2</v>
      </c>
      <c r="G215" s="90" t="str">
        <f>IFERROR(__xludf.dummyfunction("""COMPUTED_VALUE"""),"CENTRO MUNICIPAL DE EDUCAÇÃO INFANTIL MARCOS FREIRE")</f>
        <v>CENTRO MUNICIPAL DE EDUCAÇÃO INFANTIL MARCOS FREIRE</v>
      </c>
      <c r="H215" s="90" t="str">
        <f>IFERROR(__xludf.dummyfunction("""COMPUTED_VALUE"""),"REGIONAL 4")</f>
        <v>REGIONAL 4</v>
      </c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ht="15.75" customHeight="1" spans="1:26">
      <c r="A216" s="90" t="str">
        <f>IFERROR(__xludf.dummyfunction("""COMPUTED_VALUE"""),"20/03/2026 23:02:44")</f>
        <v>20/03/2026 23:02:44</v>
      </c>
      <c r="B216" s="90" t="str">
        <f>IFERROR(__xludf.dummyfunction("""COMPUTED_VALUE"""),"3")</f>
        <v>3</v>
      </c>
      <c r="C216" s="144" t="str">
        <f>IFERROR(__xludf.dummyfunction("""COMPUTED_VALUE"""),"LEVI BRYAN DE OLIVEIRA REIS")</f>
        <v>LEVI BRYAN DE OLIVEIRA REIS</v>
      </c>
      <c r="D216" s="90" t="str">
        <f>IFERROR(__xludf.dummyfunction("""COMPUTED_VALUE"""),"22/02/2024")</f>
        <v>22/02/2024</v>
      </c>
      <c r="E216" s="90" t="str">
        <f>IFERROR(__xludf.dummyfunction("""COMPUTED_VALUE"""),"002.077.824-40")</f>
        <v>002.077.824-40</v>
      </c>
      <c r="F216" s="90" t="str">
        <f>IFERROR(__xludf.dummyfunction("""COMPUTED_VALUE"""),"INFANTIL 2")</f>
        <v>INFANTIL 2</v>
      </c>
      <c r="G216" s="90" t="str">
        <f>IFERROR(__xludf.dummyfunction("""COMPUTED_VALUE"""),"CENTRO MUNICIPAL DE EDUCAÇÃO INFANTIL MARCOS FREIRE")</f>
        <v>CENTRO MUNICIPAL DE EDUCAÇÃO INFANTIL MARCOS FREIRE</v>
      </c>
      <c r="H216" s="90" t="str">
        <f>IFERROR(__xludf.dummyfunction("""COMPUTED_VALUE"""),"REGIONAL 4")</f>
        <v>REGIONAL 4</v>
      </c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ht="15.75" customHeight="1" spans="1:26">
      <c r="A217" s="90" t="str">
        <f>IFERROR(__xludf.dummyfunction("""COMPUTED_VALUE"""),"08/04/2026 13:49:21")</f>
        <v>08/04/2026 13:49:21</v>
      </c>
      <c r="B217" s="90" t="str">
        <f>IFERROR(__xludf.dummyfunction("""COMPUTED_VALUE"""),"4")</f>
        <v>4</v>
      </c>
      <c r="C217" s="144" t="str">
        <f>IFERROR(__xludf.dummyfunction("""COMPUTED_VALUE"""),"JORGE MIGUEL DA SILVA NASCIMENTO")</f>
        <v>JORGE MIGUEL DA SILVA NASCIMENTO</v>
      </c>
      <c r="D217" s="90" t="str">
        <f>IFERROR(__xludf.dummyfunction("""COMPUTED_VALUE"""),"23/07/2023")</f>
        <v>23/07/2023</v>
      </c>
      <c r="E217" s="90" t="str">
        <f>IFERROR(__xludf.dummyfunction("""COMPUTED_VALUE"""),"186.203.064-21")</f>
        <v>186.203.064-21</v>
      </c>
      <c r="F217" s="90" t="str">
        <f>IFERROR(__xludf.dummyfunction("""COMPUTED_VALUE"""),"INFANTIL 2")</f>
        <v>INFANTIL 2</v>
      </c>
      <c r="G217" s="90" t="str">
        <f>IFERROR(__xludf.dummyfunction("""COMPUTED_VALUE"""),"CENTRO MUNICIPAL DE EDUCAÇÃO INFANTIL MARCOS FREIRE")</f>
        <v>CENTRO MUNICIPAL DE EDUCAÇÃO INFANTIL MARCOS FREIRE</v>
      </c>
      <c r="H217" s="90" t="str">
        <f>IFERROR(__xludf.dummyfunction("""COMPUTED_VALUE"""),"REGIONAL 4")</f>
        <v>REGIONAL 4</v>
      </c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ht="15.75" customHeight="1" spans="1:26">
      <c r="A218" s="90" t="str">
        <f>IFERROR(__xludf.dummyfunction("""COMPUTED_VALUE"""),"21/07/2026 12:18:22")</f>
        <v>21/07/2026 12:18:22</v>
      </c>
      <c r="B218" s="90" t="str">
        <f>IFERROR(__xludf.dummyfunction("""COMPUTED_VALUE"""),"5")</f>
        <v>5</v>
      </c>
      <c r="C218" s="144" t="str">
        <f>IFERROR(__xludf.dummyfunction("""COMPUTED_VALUE"""),"Liam Davi Luiz Barbosa")</f>
        <v>Liam Davi Luiz Barbosa</v>
      </c>
      <c r="D218" s="90" t="str">
        <f>IFERROR(__xludf.dummyfunction("""COMPUTED_VALUE"""),"15/12/2023")</f>
        <v>15/12/2023</v>
      </c>
      <c r="E218" s="90" t="str">
        <f>IFERROR(__xludf.dummyfunction("""COMPUTED_VALUE"""),"001.353.824-16")</f>
        <v>001.353.824-16</v>
      </c>
      <c r="F218" s="90" t="str">
        <f>IFERROR(__xludf.dummyfunction("""COMPUTED_VALUE"""),"INFANTIL 2")</f>
        <v>INFANTIL 2</v>
      </c>
      <c r="G218" s="90" t="str">
        <f>IFERROR(__xludf.dummyfunction("""COMPUTED_VALUE"""),"CENTRO MUNICIPAL DE EDUCAÇÃO INFANTIL MARCOS FREIRE")</f>
        <v>CENTRO MUNICIPAL DE EDUCAÇÃO INFANTIL MARCOS FREIRE</v>
      </c>
      <c r="H218" s="90" t="str">
        <f>IFERROR(__xludf.dummyfunction("""COMPUTED_VALUE"""),"REGIONAL 4")</f>
        <v>REGIONAL 4</v>
      </c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ht="15.75" customHeight="1" spans="1:26">
      <c r="A219" s="90" t="str">
        <f>IFERROR(__xludf.dummyfunction("""COMPUTED_VALUE"""),"05/08/2026 08:49:31")</f>
        <v>05/08/2026 08:49:31</v>
      </c>
      <c r="B219" s="90" t="str">
        <f>IFERROR(__xludf.dummyfunction("""COMPUTED_VALUE"""),"6")</f>
        <v>6</v>
      </c>
      <c r="C219" s="144" t="str">
        <f>IFERROR(__xludf.dummyfunction("""COMPUTED_VALUE"""),"davi arthur pompeu dos santos")</f>
        <v>davi arthur pompeu dos santos</v>
      </c>
      <c r="D219" s="90" t="str">
        <f>IFERROR(__xludf.dummyfunction("""COMPUTED_VALUE"""),"19/01/2024")</f>
        <v>19/01/2024</v>
      </c>
      <c r="E219" s="90" t="str">
        <f>IFERROR(__xludf.dummyfunction("""COMPUTED_VALUE"""),"001.835.694-07")</f>
        <v>001.835.694-07</v>
      </c>
      <c r="F219" s="90" t="str">
        <f>IFERROR(__xludf.dummyfunction("""COMPUTED_VALUE"""),"INFANTIL 2")</f>
        <v>INFANTIL 2</v>
      </c>
      <c r="G219" s="90" t="str">
        <f>IFERROR(__xludf.dummyfunction("""COMPUTED_VALUE"""),"CENTRO MUNICIPAL DE EDUCAÇÃO INFANTIL MARCOS FREIRE")</f>
        <v>CENTRO MUNICIPAL DE EDUCAÇÃO INFANTIL MARCOS FREIRE</v>
      </c>
      <c r="H219" s="90" t="str">
        <f>IFERROR(__xludf.dummyfunction("""COMPUTED_VALUE"""),"REGIONAL 4")</f>
        <v>REGIONAL 4</v>
      </c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ht="15.75" customHeight="1" spans="1:26">
      <c r="A220" s="90" t="str">
        <f>IFERROR(__xludf.dummyfunction("""COMPUTED_VALUE"""),"05/08/2026 15:34:59")</f>
        <v>05/08/2026 15:34:59</v>
      </c>
      <c r="B220" s="90" t="str">
        <f>IFERROR(__xludf.dummyfunction("""COMPUTED_VALUE"""),"1")</f>
        <v>1</v>
      </c>
      <c r="C220" s="144" t="str">
        <f>IFERROR(__xludf.dummyfunction("""COMPUTED_VALUE"""),"MAYA CAMILLY SOARES DA SILVA")</f>
        <v>MAYA CAMILLY SOARES DA SILVA</v>
      </c>
      <c r="D220" s="90" t="str">
        <f>IFERROR(__xludf.dummyfunction("""COMPUTED_VALUE"""),"09/02/2023")</f>
        <v>09/02/2023</v>
      </c>
      <c r="E220" s="90" t="str">
        <f>IFERROR(__xludf.dummyfunction("""COMPUTED_VALUE"""),"185.094.154-80")</f>
        <v>185.094.154-80</v>
      </c>
      <c r="F220" s="90" t="str">
        <f>IFERROR(__xludf.dummyfunction("""COMPUTED_VALUE"""),"INFANTIL 3")</f>
        <v>INFANTIL 3</v>
      </c>
      <c r="G220" s="90" t="str">
        <f>IFERROR(__xludf.dummyfunction("""COMPUTED_VALUE"""),"CENTRO MUNICIPAL DE EDUCAÇÃO INFANTIL MARCOS FREIRE")</f>
        <v>CENTRO MUNICIPAL DE EDUCAÇÃO INFANTIL MARCOS FREIRE</v>
      </c>
      <c r="H220" s="90" t="str">
        <f>IFERROR(__xludf.dummyfunction("""COMPUTED_VALUE"""),"REGIONAL 4")</f>
        <v>REGIONAL 4</v>
      </c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ht="15.75" customHeight="1" spans="1:26">
      <c r="A221" s="90" t="str">
        <f>IFERROR(__xludf.dummyfunction("""COMPUTED_VALUE"""),"25/02/2026 12:49:56")</f>
        <v>25/02/2026 12:49:56</v>
      </c>
      <c r="B221" s="90" t="str">
        <f>IFERROR(__xludf.dummyfunction("""COMPUTED_VALUE"""),"1")</f>
        <v>1</v>
      </c>
      <c r="C221" s="144" t="str">
        <f>IFERROR(__xludf.dummyfunction("""COMPUTED_VALUE"""),"CR")</f>
        <v>CR</v>
      </c>
      <c r="D221" s="90" t="str">
        <f>IFERROR(__xludf.dummyfunction("""COMPUTED_VALUE"""),"03/07/2025")</f>
        <v>03/07/2025</v>
      </c>
      <c r="E221" s="90" t="str">
        <f>IFERROR(__xludf.dummyfunction("""COMPUTED_VALUE"""),"006.659.714-51")</f>
        <v>006.659.714-51</v>
      </c>
      <c r="F221" s="90" t="str">
        <f>IFERROR(__xludf.dummyfunction("""COMPUTED_VALUE"""),"INFANTIL 1")</f>
        <v>INFANTIL 1</v>
      </c>
      <c r="G221" s="90" t="str">
        <f>IFERROR(__xludf.dummyfunction("""COMPUTED_VALUE"""),"CRECHE ALAYDE MARIA DA CONCEICAO")</f>
        <v>CRECHE ALAYDE MARIA DA CONCEICAO</v>
      </c>
      <c r="H221" s="90" t="str">
        <f>IFERROR(__xludf.dummyfunction("""COMPUTED_VALUE"""),"REGIONAL 2")</f>
        <v>REGIONAL 2</v>
      </c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ht="15.75" customHeight="1" spans="1:26">
      <c r="A222" s="90" t="str">
        <f>IFERROR(__xludf.dummyfunction("""COMPUTED_VALUE"""),"25/03/2026 16:34:54")</f>
        <v>25/03/2026 16:34:54</v>
      </c>
      <c r="B222" s="90" t="str">
        <f>IFERROR(__xludf.dummyfunction("""COMPUTED_VALUE"""),"2")</f>
        <v>2</v>
      </c>
      <c r="C222" s="144" t="str">
        <f>IFERROR(__xludf.dummyfunction("""COMPUTED_VALUE"""),"DAVY ALVES DA SILVA")</f>
        <v>DAVY ALVES DA SILVA</v>
      </c>
      <c r="D222" s="90" t="str">
        <f>IFERROR(__xludf.dummyfunction("""COMPUTED_VALUE"""),"27/05/2025")</f>
        <v>27/05/2025</v>
      </c>
      <c r="E222" s="90" t="str">
        <f>IFERROR(__xludf.dummyfunction("""COMPUTED_VALUE"""),"003.543.594-10")</f>
        <v>003.543.594-10</v>
      </c>
      <c r="F222" s="90" t="str">
        <f>IFERROR(__xludf.dummyfunction("""COMPUTED_VALUE"""),"INFANTIL 1")</f>
        <v>INFANTIL 1</v>
      </c>
      <c r="G222" s="90" t="str">
        <f>IFERROR(__xludf.dummyfunction("""COMPUTED_VALUE"""),"CRECHE ALAYDE MARIA DA CONCEICAO")</f>
        <v>CRECHE ALAYDE MARIA DA CONCEICAO</v>
      </c>
      <c r="H222" s="90" t="str">
        <f>IFERROR(__xludf.dummyfunction("""COMPUTED_VALUE"""),"REGIONAL 2")</f>
        <v>REGIONAL 2</v>
      </c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ht="15.75" customHeight="1" spans="1:26">
      <c r="A223" s="90" t="str">
        <f>IFERROR(__xludf.dummyfunction("""COMPUTED_VALUE"""),"18/06/2026 11:42:52")</f>
        <v>18/06/2026 11:42:52</v>
      </c>
      <c r="B223" s="90" t="str">
        <f>IFERROR(__xludf.dummyfunction("""COMPUTED_VALUE"""),"3")</f>
        <v>3</v>
      </c>
      <c r="C223" s="144" t="str">
        <f>IFERROR(__xludf.dummyfunction("""COMPUTED_VALUE"""),"Hellena Sophia Souza da Silva")</f>
        <v>Hellena Sophia Souza da Silva</v>
      </c>
      <c r="D223" s="90" t="str">
        <f>IFERROR(__xludf.dummyfunction("""COMPUTED_VALUE"""),"04/04/2025")</f>
        <v>04/04/2025</v>
      </c>
      <c r="E223" s="90" t="str">
        <f>IFERROR(__xludf.dummyfunction("""COMPUTED_VALUE"""),"005.830.624-23")</f>
        <v>005.830.624-23</v>
      </c>
      <c r="F223" s="90" t="str">
        <f>IFERROR(__xludf.dummyfunction("""COMPUTED_VALUE"""),"INFANTIL 1")</f>
        <v>INFANTIL 1</v>
      </c>
      <c r="G223" s="90" t="str">
        <f>IFERROR(__xludf.dummyfunction("""COMPUTED_VALUE"""),"CRECHE ALAYDE MARIA DA CONCEICAO")</f>
        <v>CRECHE ALAYDE MARIA DA CONCEICAO</v>
      </c>
      <c r="H223" s="90" t="str">
        <f>IFERROR(__xludf.dummyfunction("""COMPUTED_VALUE"""),"REGIONAL 2")</f>
        <v>REGIONAL 2</v>
      </c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ht="15.75" customHeight="1" spans="1:26">
      <c r="A224" s="90" t="str">
        <f>IFERROR(__xludf.dummyfunction("""COMPUTED_VALUE"""),"23/06/2026 08:34:26")</f>
        <v>23/06/2026 08:34:26</v>
      </c>
      <c r="B224" s="90" t="str">
        <f>IFERROR(__xludf.dummyfunction("""COMPUTED_VALUE"""),"4")</f>
        <v>4</v>
      </c>
      <c r="C224" s="144" t="str">
        <f>IFERROR(__xludf.dummyfunction("""COMPUTED_VALUE"""),"Eloá Sofia pareia de Oliveira")</f>
        <v>Eloá Sofia pareia de Oliveira</v>
      </c>
      <c r="D224" s="90" t="str">
        <f>IFERROR(__xludf.dummyfunction("""COMPUTED_VALUE"""),"08/07/2024")</f>
        <v>08/07/2024</v>
      </c>
      <c r="E224" s="90" t="str">
        <f>IFERROR(__xludf.dummyfunction("""COMPUTED_VALUE"""),"003.450.224-67")</f>
        <v>003.450.224-67</v>
      </c>
      <c r="F224" s="90" t="str">
        <f>IFERROR(__xludf.dummyfunction("""COMPUTED_VALUE"""),"INFANTIL 1")</f>
        <v>INFANTIL 1</v>
      </c>
      <c r="G224" s="90" t="str">
        <f>IFERROR(__xludf.dummyfunction("""COMPUTED_VALUE"""),"CRECHE ALAYDE MARIA DA CONCEICAO")</f>
        <v>CRECHE ALAYDE MARIA DA CONCEICAO</v>
      </c>
      <c r="H224" s="90" t="str">
        <f>IFERROR(__xludf.dummyfunction("""COMPUTED_VALUE"""),"REGIONAL 2")</f>
        <v>REGIONAL 2</v>
      </c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ht="15.75" customHeight="1" spans="1:26">
      <c r="A225" s="90" t="str">
        <f>IFERROR(__xludf.dummyfunction("""COMPUTED_VALUE"""),"04/08/2026 21:58:49")</f>
        <v>04/08/2026 21:58:49</v>
      </c>
      <c r="B225" s="90" t="str">
        <f>IFERROR(__xludf.dummyfunction("""COMPUTED_VALUE"""),"5")</f>
        <v>5</v>
      </c>
      <c r="C225" s="144" t="str">
        <f>IFERROR(__xludf.dummyfunction("""COMPUTED_VALUE"""),"Vivian Roberta da Silva Conceição")</f>
        <v>Vivian Roberta da Silva Conceição</v>
      </c>
      <c r="D225" s="90" t="str">
        <f>IFERROR(__xludf.dummyfunction("""COMPUTED_VALUE"""),"28/02/2025")</f>
        <v>28/02/2025</v>
      </c>
      <c r="E225" s="90" t="str">
        <f>IFERROR(__xludf.dummyfunction("""COMPUTED_VALUE"""),"005.510.474-61")</f>
        <v>005.510.474-61</v>
      </c>
      <c r="F225" s="90" t="str">
        <f>IFERROR(__xludf.dummyfunction("""COMPUTED_VALUE"""),"INFANTIL 1")</f>
        <v>INFANTIL 1</v>
      </c>
      <c r="G225" s="90" t="str">
        <f>IFERROR(__xludf.dummyfunction("""COMPUTED_VALUE"""),"CRECHE ALAYDE MARIA DA CONCEICAO")</f>
        <v>CRECHE ALAYDE MARIA DA CONCEICAO</v>
      </c>
      <c r="H225" s="90" t="str">
        <f>IFERROR(__xludf.dummyfunction("""COMPUTED_VALUE"""),"REGIONAL 2")</f>
        <v>REGIONAL 2</v>
      </c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ht="15.75" customHeight="1" spans="1:26">
      <c r="A226" s="90" t="str">
        <f>IFERROR(__xludf.dummyfunction("""COMPUTED_VALUE"""),"19/03/2026 10:36:55")</f>
        <v>19/03/2026 10:36:55</v>
      </c>
      <c r="B226" s="90" t="str">
        <f>IFERROR(__xludf.dummyfunction("""COMPUTED_VALUE"""),"1")</f>
        <v>1</v>
      </c>
      <c r="C226" s="144" t="str">
        <f>IFERROR(__xludf.dummyfunction("""COMPUTED_VALUE"""),"ELLIZA EMANUELLEY MONTE DE LIMA")</f>
        <v>ELLIZA EMANUELLEY MONTE DE LIMA</v>
      </c>
      <c r="D226" s="90" t="str">
        <f>IFERROR(__xludf.dummyfunction("""COMPUTED_VALUE"""),"21/04/2023")</f>
        <v>21/04/2023</v>
      </c>
      <c r="E226" s="90" t="str">
        <f>IFERROR(__xludf.dummyfunction("""COMPUTED_VALUE"""),"185.171.144-93")</f>
        <v>185.171.144-93</v>
      </c>
      <c r="F226" s="90" t="str">
        <f>IFERROR(__xludf.dummyfunction("""COMPUTED_VALUE"""),"INFANTIL 2")</f>
        <v>INFANTIL 2</v>
      </c>
      <c r="G226" s="90" t="str">
        <f>IFERROR(__xludf.dummyfunction("""COMPUTED_VALUE"""),"CRECHE ALAYDE MARIA DA CONCEICAO")</f>
        <v>CRECHE ALAYDE MARIA DA CONCEICAO</v>
      </c>
      <c r="H226" s="90" t="str">
        <f>IFERROR(__xludf.dummyfunction("""COMPUTED_VALUE"""),"REGIONAL 2")</f>
        <v>REGIONAL 2</v>
      </c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ht="15.75" customHeight="1" spans="1:26">
      <c r="A227" s="90" t="str">
        <f>IFERROR(__xludf.dummyfunction("""COMPUTED_VALUE"""),"31/03/2026 12:14:35")</f>
        <v>31/03/2026 12:14:35</v>
      </c>
      <c r="B227" s="90" t="str">
        <f>IFERROR(__xludf.dummyfunction("""COMPUTED_VALUE"""),"2")</f>
        <v>2</v>
      </c>
      <c r="C227" s="144" t="str">
        <f>IFERROR(__xludf.dummyfunction("""COMPUTED_VALUE"""),"HELLOÁ DANIELLY AMORIM FELIX")</f>
        <v>HELLOÁ DANIELLY AMORIM FELIX</v>
      </c>
      <c r="D227" s="90" t="str">
        <f>IFERROR(__xludf.dummyfunction("""COMPUTED_VALUE"""),"04/03/2024")</f>
        <v>04/03/2024</v>
      </c>
      <c r="E227" s="90" t="str">
        <f>IFERROR(__xludf.dummyfunction("""COMPUTED_VALUE"""),"002.685.434-10")</f>
        <v>002.685.434-10</v>
      </c>
      <c r="F227" s="90" t="str">
        <f>IFERROR(__xludf.dummyfunction("""COMPUTED_VALUE"""),"INFANTIL 2")</f>
        <v>INFANTIL 2</v>
      </c>
      <c r="G227" s="90" t="str">
        <f>IFERROR(__xludf.dummyfunction("""COMPUTED_VALUE"""),"CRECHE ALAYDE MARIA DA CONCEICAO")</f>
        <v>CRECHE ALAYDE MARIA DA CONCEICAO</v>
      </c>
      <c r="H227" s="90" t="str">
        <f>IFERROR(__xludf.dummyfunction("""COMPUTED_VALUE"""),"REGIONAL 2")</f>
        <v>REGIONAL 2</v>
      </c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ht="15.75" customHeight="1" spans="1:26">
      <c r="A228" s="90" t="str">
        <f>IFERROR(__xludf.dummyfunction("""COMPUTED_VALUE"""),"27/04/2026 15:51:32")</f>
        <v>27/04/2026 15:51:32</v>
      </c>
      <c r="B228" s="90" t="str">
        <f>IFERROR(__xludf.dummyfunction("""COMPUTED_VALUE"""),"3")</f>
        <v>3</v>
      </c>
      <c r="C228" s="144" t="str">
        <f>IFERROR(__xludf.dummyfunction("""COMPUTED_VALUE"""),"EDRICK FELIPE MELO DOS SANTOS RODRIGUES")</f>
        <v>EDRICK FELIPE MELO DOS SANTOS RODRIGUES</v>
      </c>
      <c r="D228" s="90" t="str">
        <f>IFERROR(__xludf.dummyfunction("""COMPUTED_VALUE"""),"11/02/2024")</f>
        <v>11/02/2024</v>
      </c>
      <c r="E228" s="90" t="str">
        <f>IFERROR(__xludf.dummyfunction("""COMPUTED_VALUE"""),"001.939.124-22")</f>
        <v>001.939.124-22</v>
      </c>
      <c r="F228" s="90" t="str">
        <f>IFERROR(__xludf.dummyfunction("""COMPUTED_VALUE"""),"INFANTIL 2")</f>
        <v>INFANTIL 2</v>
      </c>
      <c r="G228" s="90" t="str">
        <f>IFERROR(__xludf.dummyfunction("""COMPUTED_VALUE"""),"CRECHE ALAYDE MARIA DA CONCEICAO")</f>
        <v>CRECHE ALAYDE MARIA DA CONCEICAO</v>
      </c>
      <c r="H228" s="90" t="str">
        <f>IFERROR(__xludf.dummyfunction("""COMPUTED_VALUE"""),"REGIONAL 2")</f>
        <v>REGIONAL 2</v>
      </c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ht="15.75" customHeight="1" spans="1:26">
      <c r="A229" s="90" t="str">
        <f>IFERROR(__xludf.dummyfunction("""COMPUTED_VALUE"""),"14/03/2026 10:04:37")</f>
        <v>14/03/2026 10:04:37</v>
      </c>
      <c r="B229" s="90" t="str">
        <f>IFERROR(__xludf.dummyfunction("""COMPUTED_VALUE"""),"1")</f>
        <v>1</v>
      </c>
      <c r="C229" s="144" t="str">
        <f>IFERROR(__xludf.dummyfunction("""COMPUTED_VALUE"""),"BERNARDO CARVALHO")</f>
        <v>BERNARDO CARVALHO</v>
      </c>
      <c r="D229" s="90" t="str">
        <f>IFERROR(__xludf.dummyfunction("""COMPUTED_VALUE"""),"27/06/2024")</f>
        <v>27/06/2024</v>
      </c>
      <c r="E229" s="90" t="str">
        <f>IFERROR(__xludf.dummyfunction("""COMPUTED_VALUE"""),"003.334.034-01")</f>
        <v>003.334.034-01</v>
      </c>
      <c r="F229" s="90" t="str">
        <f>IFERROR(__xludf.dummyfunction("""COMPUTED_VALUE"""),"INFANTIL 1")</f>
        <v>INFANTIL 1</v>
      </c>
      <c r="G229" s="90" t="str">
        <f>IFERROR(__xludf.dummyfunction("""COMPUTED_VALUE"""),"CRECHE CIRANDA CIRANDINHA")</f>
        <v>CRECHE CIRANDA CIRANDINHA</v>
      </c>
      <c r="H229" s="90" t="str">
        <f>IFERROR(__xludf.dummyfunction("""COMPUTED_VALUE"""),"REGIONAL 1")</f>
        <v>REGIONAL 1</v>
      </c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ht="15.75" customHeight="1" spans="1:26">
      <c r="A230" s="90" t="str">
        <f>IFERROR(__xludf.dummyfunction("""COMPUTED_VALUE"""),"29/04/2026 14:37:28")</f>
        <v>29/04/2026 14:37:28</v>
      </c>
      <c r="B230" s="90" t="str">
        <f>IFERROR(__xludf.dummyfunction("""COMPUTED_VALUE"""),"2")</f>
        <v>2</v>
      </c>
      <c r="C230" s="144" t="str">
        <f>IFERROR(__xludf.dummyfunction("""COMPUTED_VALUE"""),"KAUE RAVI BATISTA DO BOMFIM")</f>
        <v>KAUE RAVI BATISTA DO BOMFIM</v>
      </c>
      <c r="D230" s="90" t="str">
        <f>IFERROR(__xludf.dummyfunction("""COMPUTED_VALUE"""),"14/01/2025")</f>
        <v>14/01/2025</v>
      </c>
      <c r="E230" s="90" t="str">
        <f>IFERROR(__xludf.dummyfunction("""COMPUTED_VALUE"""),"006.037.364-40")</f>
        <v>006.037.364-40</v>
      </c>
      <c r="F230" s="90" t="str">
        <f>IFERROR(__xludf.dummyfunction("""COMPUTED_VALUE"""),"INFANTIL 1")</f>
        <v>INFANTIL 1</v>
      </c>
      <c r="G230" s="90" t="str">
        <f>IFERROR(__xludf.dummyfunction("""COMPUTED_VALUE"""),"CRECHE CIRANDA CIRANDINHA")</f>
        <v>CRECHE CIRANDA CIRANDINHA</v>
      </c>
      <c r="H230" s="90" t="str">
        <f>IFERROR(__xludf.dummyfunction("""COMPUTED_VALUE"""),"REGIONAL 1")</f>
        <v>REGIONAL 1</v>
      </c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ht="15.75" customHeight="1" spans="1:26">
      <c r="A231" s="90" t="str">
        <f>IFERROR(__xludf.dummyfunction("""COMPUTED_VALUE"""),"28/05/2026 16:17:10")</f>
        <v>28/05/2026 16:17:10</v>
      </c>
      <c r="B231" s="90" t="str">
        <f>IFERROR(__xludf.dummyfunction("""COMPUTED_VALUE"""),"3")</f>
        <v>3</v>
      </c>
      <c r="C231" s="144" t="str">
        <f>IFERROR(__xludf.dummyfunction("""COMPUTED_VALUE"""),"HELENA CECÍLIA RAIMUNDO GOMES")</f>
        <v>HELENA CECÍLIA RAIMUNDO GOMES</v>
      </c>
      <c r="D231" s="90" t="str">
        <f>IFERROR(__xludf.dummyfunction("""COMPUTED_VALUE"""),"02/12/2024")</f>
        <v>02/12/2024</v>
      </c>
      <c r="E231" s="90" t="str">
        <f>IFERROR(__xludf.dummyfunction("""COMPUTED_VALUE"""),"004.781.934-08")</f>
        <v>004.781.934-08</v>
      </c>
      <c r="F231" s="90" t="str">
        <f>IFERROR(__xludf.dummyfunction("""COMPUTED_VALUE"""),"INFANTIL 1")</f>
        <v>INFANTIL 1</v>
      </c>
      <c r="G231" s="90" t="str">
        <f>IFERROR(__xludf.dummyfunction("""COMPUTED_VALUE"""),"CRECHE CIRANDA CIRANDINHA")</f>
        <v>CRECHE CIRANDA CIRANDINHA</v>
      </c>
      <c r="H231" s="90" t="str">
        <f>IFERROR(__xludf.dummyfunction("""COMPUTED_VALUE"""),"REGIONAL 1")</f>
        <v>REGIONAL 1</v>
      </c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ht="15.75" customHeight="1" spans="1:26">
      <c r="A232" s="90" t="str">
        <f>IFERROR(__xludf.dummyfunction("""COMPUTED_VALUE"""),"01/06/2026 12:23:26")</f>
        <v>01/06/2026 12:23:26</v>
      </c>
      <c r="B232" s="90" t="str">
        <f>IFERROR(__xludf.dummyfunction("""COMPUTED_VALUE"""),"4")</f>
        <v>4</v>
      </c>
      <c r="C232" s="144" t="str">
        <f>IFERROR(__xludf.dummyfunction("""COMPUTED_VALUE"""),"Aurora Beatriz Freitas Rodrigues")</f>
        <v>Aurora Beatriz Freitas Rodrigues</v>
      </c>
      <c r="D232" s="90" t="str">
        <f>IFERROR(__xludf.dummyfunction("""COMPUTED_VALUE"""),"27/06/2025")</f>
        <v>27/06/2025</v>
      </c>
      <c r="E232" s="90" t="str">
        <f>IFERROR(__xludf.dummyfunction("""COMPUTED_VALUE"""),"006.752.714-01")</f>
        <v>006.752.714-01</v>
      </c>
      <c r="F232" s="90" t="str">
        <f>IFERROR(__xludf.dummyfunction("""COMPUTED_VALUE"""),"INFANTIL 1")</f>
        <v>INFANTIL 1</v>
      </c>
      <c r="G232" s="90" t="str">
        <f>IFERROR(__xludf.dummyfunction("""COMPUTED_VALUE"""),"CRECHE CIRANDA CIRANDINHA")</f>
        <v>CRECHE CIRANDA CIRANDINHA</v>
      </c>
      <c r="H232" s="90" t="str">
        <f>IFERROR(__xludf.dummyfunction("""COMPUTED_VALUE"""),"REGIONAL 1")</f>
        <v>REGIONAL 1</v>
      </c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ht="15.75" customHeight="1" spans="1:26">
      <c r="A233" s="90" t="str">
        <f>IFERROR(__xludf.dummyfunction("""COMPUTED_VALUE"""),"19/06/2026 10:54:15")</f>
        <v>19/06/2026 10:54:15</v>
      </c>
      <c r="B233" s="90" t="str">
        <f>IFERROR(__xludf.dummyfunction("""COMPUTED_VALUE"""),"5")</f>
        <v>5</v>
      </c>
      <c r="C233" s="144" t="str">
        <f>IFERROR(__xludf.dummyfunction("""COMPUTED_VALUE"""),"Micael Luiz caldas farias")</f>
        <v>Micael Luiz caldas farias</v>
      </c>
      <c r="D233" s="90" t="str">
        <f>IFERROR(__xludf.dummyfunction("""COMPUTED_VALUE"""),"28/07/2025")</f>
        <v>28/07/2025</v>
      </c>
      <c r="E233" s="90" t="str">
        <f>IFERROR(__xludf.dummyfunction("""COMPUTED_VALUE"""),"007.154.064-42")</f>
        <v>007.154.064-42</v>
      </c>
      <c r="F233" s="90" t="str">
        <f>IFERROR(__xludf.dummyfunction("""COMPUTED_VALUE"""),"INFANTIL 1")</f>
        <v>INFANTIL 1</v>
      </c>
      <c r="G233" s="90" t="str">
        <f>IFERROR(__xludf.dummyfunction("""COMPUTED_VALUE"""),"CRECHE CIRANDA CIRANDINHA")</f>
        <v>CRECHE CIRANDA CIRANDINHA</v>
      </c>
      <c r="H233" s="90" t="str">
        <f>IFERROR(__xludf.dummyfunction("""COMPUTED_VALUE"""),"REGIONAL 1")</f>
        <v>REGIONAL 1</v>
      </c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ht="15.75" customHeight="1" spans="1:26">
      <c r="A234" s="90" t="str">
        <f>IFERROR(__xludf.dummyfunction("""COMPUTED_VALUE"""),"15/07/2026 09:24:08")</f>
        <v>15/07/2026 09:24:08</v>
      </c>
      <c r="B234" s="90" t="str">
        <f>IFERROR(__xludf.dummyfunction("""COMPUTED_VALUE"""),"6")</f>
        <v>6</v>
      </c>
      <c r="C234" s="144" t="str">
        <f>IFERROR(__xludf.dummyfunction("""COMPUTED_VALUE"""),"Aylla Maria de Souza Maranhão")</f>
        <v>Aylla Maria de Souza Maranhão</v>
      </c>
      <c r="D234" s="90" t="str">
        <f>IFERROR(__xludf.dummyfunction("""COMPUTED_VALUE"""),"23/09/2025")</f>
        <v>23/09/2025</v>
      </c>
      <c r="E234" s="90" t="str">
        <f>IFERROR(__xludf.dummyfunction("""COMPUTED_VALUE"""),"015.416.684-72")</f>
        <v>015.416.684-72</v>
      </c>
      <c r="F234" s="90" t="str">
        <f>IFERROR(__xludf.dummyfunction("""COMPUTED_VALUE"""),"INFANTIL 1")</f>
        <v>INFANTIL 1</v>
      </c>
      <c r="G234" s="90" t="str">
        <f>IFERROR(__xludf.dummyfunction("""COMPUTED_VALUE"""),"CRECHE CIRANDA CIRANDINHA")</f>
        <v>CRECHE CIRANDA CIRANDINHA</v>
      </c>
      <c r="H234" s="90" t="str">
        <f>IFERROR(__xludf.dummyfunction("""COMPUTED_VALUE"""),"REGIONAL 1")</f>
        <v>REGIONAL 1</v>
      </c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ht="15.75" customHeight="1" spans="1:26">
      <c r="A235" s="90" t="str">
        <f>IFERROR(__xludf.dummyfunction("""COMPUTED_VALUE"""),"13/09/2026 22:23:43")</f>
        <v>13/09/2026 22:23:43</v>
      </c>
      <c r="B235" s="90" t="str">
        <f>IFERROR(__xludf.dummyfunction("""COMPUTED_VALUE"""),"7")</f>
        <v>7</v>
      </c>
      <c r="C235" s="144" t="str">
        <f>IFERROR(__xludf.dummyfunction("""COMPUTED_VALUE"""),"Yago Gabriel gomes Santana")</f>
        <v>Yago Gabriel gomes Santana</v>
      </c>
      <c r="D235" s="90" t="str">
        <f>IFERROR(__xludf.dummyfunction("""COMPUTED_VALUE"""),"11/02/2026")</f>
        <v>11/02/2026</v>
      </c>
      <c r="E235" s="90" t="str">
        <f>IFERROR(__xludf.dummyfunction("""COMPUTED_VALUE"""),"048.877.354-72")</f>
        <v>048.877.354-72</v>
      </c>
      <c r="F235" s="90" t="str">
        <f>IFERROR(__xludf.dummyfunction("""COMPUTED_VALUE"""),"INFANTIL 1")</f>
        <v>INFANTIL 1</v>
      </c>
      <c r="G235" s="90" t="str">
        <f>IFERROR(__xludf.dummyfunction("""COMPUTED_VALUE"""),"CRECHE CIRANDA CIRANDINHA")</f>
        <v>CRECHE CIRANDA CIRANDINHA</v>
      </c>
      <c r="H235" s="90" t="str">
        <f>IFERROR(__xludf.dummyfunction("""COMPUTED_VALUE"""),"REGIONAL 1")</f>
        <v>REGIONAL 1</v>
      </c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ht="15.75" customHeight="1" spans="1:26">
      <c r="A236" s="90" t="str">
        <f>IFERROR(__xludf.dummyfunction("""COMPUTED_VALUE"""),"22/09/2026 15:25:56")</f>
        <v>22/09/2026 15:25:56</v>
      </c>
      <c r="B236" s="90" t="str">
        <f>IFERROR(__xludf.dummyfunction("""COMPUTED_VALUE"""),"8")</f>
        <v>8</v>
      </c>
      <c r="C236" s="144" t="str">
        <f>IFERROR(__xludf.dummyfunction("""COMPUTED_VALUE"""),"Jean Jair Da Silva Pinho Nunes")</f>
        <v>Jean Jair Da Silva Pinho Nunes</v>
      </c>
      <c r="D236" s="90" t="str">
        <f>IFERROR(__xludf.dummyfunction("""COMPUTED_VALUE"""),"01/12/2024")</f>
        <v>01/12/2024</v>
      </c>
      <c r="E236" s="90" t="str">
        <f>IFERROR(__xludf.dummyfunction("""COMPUTED_VALUE"""),"005.169.974-59")</f>
        <v>005.169.974-59</v>
      </c>
      <c r="F236" s="90" t="str">
        <f>IFERROR(__xludf.dummyfunction("""COMPUTED_VALUE"""),"INFANTIL 1")</f>
        <v>INFANTIL 1</v>
      </c>
      <c r="G236" s="90" t="str">
        <f>IFERROR(__xludf.dummyfunction("""COMPUTED_VALUE"""),"CRECHE CIRANDA CIRANDINHA")</f>
        <v>CRECHE CIRANDA CIRANDINHA</v>
      </c>
      <c r="H236" s="90" t="str">
        <f>IFERROR(__xludf.dummyfunction("""COMPUTED_VALUE"""),"REGIONAL 1")</f>
        <v>REGIONAL 1</v>
      </c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ht="15.75" customHeight="1" spans="1:26">
      <c r="A237" s="90" t="str">
        <f>IFERROR(__xludf.dummyfunction("""COMPUTED_VALUE"""),"02/02/2026 14:50:25")</f>
        <v>02/02/2026 14:50:25</v>
      </c>
      <c r="B237" s="90" t="str">
        <f>IFERROR(__xludf.dummyfunction("""COMPUTED_VALUE"""),"1")</f>
        <v>1</v>
      </c>
      <c r="C237" s="144" t="str">
        <f>IFERROR(__xludf.dummyfunction("""COMPUTED_VALUE"""),"ALYCIA THAUANA ALBUQUERQUE MOURA DE MELO")</f>
        <v>ALYCIA THAUANA ALBUQUERQUE MOURA DE MELO</v>
      </c>
      <c r="D237" s="90" t="str">
        <f>IFERROR(__xludf.dummyfunction("""COMPUTED_VALUE"""),"04/10/2023")</f>
        <v>04/10/2023</v>
      </c>
      <c r="E237" s="90" t="str">
        <f>IFERROR(__xludf.dummyfunction("""COMPUTED_VALUE"""),"000.874.154-96")</f>
        <v>000.874.154-96</v>
      </c>
      <c r="F237" s="90" t="str">
        <f>IFERROR(__xludf.dummyfunction("""COMPUTED_VALUE"""),"INFANTIL 2")</f>
        <v>INFANTIL 2</v>
      </c>
      <c r="G237" s="90" t="str">
        <f>IFERROR(__xludf.dummyfunction("""COMPUTED_VALUE"""),"CRECHE CIRANDA CIRANDINHA")</f>
        <v>CRECHE CIRANDA CIRANDINHA</v>
      </c>
      <c r="H237" s="90" t="str">
        <f>IFERROR(__xludf.dummyfunction("""COMPUTED_VALUE"""),"REGIONAL 1")</f>
        <v>REGIONAL 1</v>
      </c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ht="15.75" customHeight="1" spans="1:26">
      <c r="A238" s="90" t="str">
        <f>IFERROR(__xludf.dummyfunction("""COMPUTED_VALUE"""),"09/02/2026 08:21:00")</f>
        <v>09/02/2026 08:21:00</v>
      </c>
      <c r="B238" s="90" t="str">
        <f>IFERROR(__xludf.dummyfunction("""COMPUTED_VALUE"""),"2")</f>
        <v>2</v>
      </c>
      <c r="C238" s="144" t="str">
        <f>IFERROR(__xludf.dummyfunction("""COMPUTED_VALUE"""),"ELOÁH VITORIA GOMES VASCONCELOS")</f>
        <v>ELOÁH VITORIA GOMES VASCONCELOS</v>
      </c>
      <c r="D238" s="90" t="str">
        <f>IFERROR(__xludf.dummyfunction("""COMPUTED_VALUE"""),"15/07/2023")</f>
        <v>15/07/2023</v>
      </c>
      <c r="E238" s="90" t="str">
        <f>IFERROR(__xludf.dummyfunction("""COMPUTED_VALUE"""),"186.021.224-70")</f>
        <v>186.021.224-70</v>
      </c>
      <c r="F238" s="90" t="str">
        <f>IFERROR(__xludf.dummyfunction("""COMPUTED_VALUE"""),"INFANTIL 2")</f>
        <v>INFANTIL 2</v>
      </c>
      <c r="G238" s="90" t="str">
        <f>IFERROR(__xludf.dummyfunction("""COMPUTED_VALUE"""),"CRECHE CIRANDA CIRANDINHA")</f>
        <v>CRECHE CIRANDA CIRANDINHA</v>
      </c>
      <c r="H238" s="90" t="str">
        <f>IFERROR(__xludf.dummyfunction("""COMPUTED_VALUE"""),"REGIONAL 1")</f>
        <v>REGIONAL 1</v>
      </c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ht="15.75" customHeight="1" spans="1:26">
      <c r="A239" s="90" t="str">
        <f>IFERROR(__xludf.dummyfunction("""COMPUTED_VALUE"""),"22/09/2026 14:54:21")</f>
        <v>22/09/2026 14:54:21</v>
      </c>
      <c r="B239" s="90" t="str">
        <f>IFERROR(__xludf.dummyfunction("""COMPUTED_VALUE"""),"3")</f>
        <v>3</v>
      </c>
      <c r="C239" s="144" t="str">
        <f>IFERROR(__xludf.dummyfunction("""COMPUTED_VALUE"""),"Aylla Heloise Da Silva Nunes")</f>
        <v>Aylla Heloise Da Silva Nunes</v>
      </c>
      <c r="D239" s="90" t="str">
        <f>IFERROR(__xludf.dummyfunction("""COMPUTED_VALUE"""),"30/07/2023")</f>
        <v>30/07/2023</v>
      </c>
      <c r="E239" s="90" t="str">
        <f>IFERROR(__xludf.dummyfunction("""COMPUTED_VALUE"""),"000.837.684-08")</f>
        <v>000.837.684-08</v>
      </c>
      <c r="F239" s="90" t="str">
        <f>IFERROR(__xludf.dummyfunction("""COMPUTED_VALUE"""),"INFANTIL 2")</f>
        <v>INFANTIL 2</v>
      </c>
      <c r="G239" s="90" t="str">
        <f>IFERROR(__xludf.dummyfunction("""COMPUTED_VALUE"""),"CRECHE CIRANDA CIRANDINHA")</f>
        <v>CRECHE CIRANDA CIRANDINHA</v>
      </c>
      <c r="H239" s="90" t="str">
        <f>IFERROR(__xludf.dummyfunction("""COMPUTED_VALUE"""),"REGIONAL 1")</f>
        <v>REGIONAL 1</v>
      </c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ht="15.75" customHeight="1" spans="1:26">
      <c r="A240" s="90" t="str">
        <f>IFERROR(__xludf.dummyfunction("""COMPUTED_VALUE"""),"26/02/2026 23:38:28")</f>
        <v>26/02/2026 23:38:28</v>
      </c>
      <c r="B240" s="90" t="str">
        <f>IFERROR(__xludf.dummyfunction("""COMPUTED_VALUE"""),"1")</f>
        <v>1</v>
      </c>
      <c r="C240" s="144" t="str">
        <f>IFERROR(__xludf.dummyfunction("""COMPUTED_VALUE"""),"CALEFFI EPITACIO DOS SANTOS ROCHA")</f>
        <v>CALEFFI EPITACIO DOS SANTOS ROCHA</v>
      </c>
      <c r="D240" s="90" t="str">
        <f>IFERROR(__xludf.dummyfunction("""COMPUTED_VALUE"""),"04/06/2022")</f>
        <v>04/06/2022</v>
      </c>
      <c r="E240" s="90" t="str">
        <f>IFERROR(__xludf.dummyfunction("""COMPUTED_VALUE"""),"181.851.404-48")</f>
        <v>181.851.404-48</v>
      </c>
      <c r="F240" s="90" t="str">
        <f>IFERROR(__xludf.dummyfunction("""COMPUTED_VALUE"""),"INFANTIL 3")</f>
        <v>INFANTIL 3</v>
      </c>
      <c r="G240" s="90" t="str">
        <f>IFERROR(__xludf.dummyfunction("""COMPUTED_VALUE"""),"CRECHE CIRANDA CIRANDINHA")</f>
        <v>CRECHE CIRANDA CIRANDINHA</v>
      </c>
      <c r="H240" s="90" t="str">
        <f>IFERROR(__xludf.dummyfunction("""COMPUTED_VALUE"""),"REGIONAL 1")</f>
        <v>REGIONAL 1</v>
      </c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ht="15.75" customHeight="1" spans="1:26">
      <c r="A241" s="90" t="str">
        <f>IFERROR(__xludf.dummyfunction("""COMPUTED_VALUE"""),"24/03/2026 10:37:29")</f>
        <v>24/03/2026 10:37:29</v>
      </c>
      <c r="B241" s="90" t="str">
        <f>IFERROR(__xludf.dummyfunction("""COMPUTED_VALUE"""),"2")</f>
        <v>2</v>
      </c>
      <c r="C241" s="144" t="str">
        <f>IFERROR(__xludf.dummyfunction("""COMPUTED_VALUE"""),"RICARDO MATEUS SILVA CAVALCANTE FELIX")</f>
        <v>RICARDO MATEUS SILVA CAVALCANTE FELIX</v>
      </c>
      <c r="D241" s="90" t="str">
        <f>IFERROR(__xludf.dummyfunction("""COMPUTED_VALUE"""),"20/08/2022")</f>
        <v>20/08/2022</v>
      </c>
      <c r="E241" s="90" t="str">
        <f>IFERROR(__xludf.dummyfunction("""COMPUTED_VALUE"""),"182.595.494-17")</f>
        <v>182.595.494-17</v>
      </c>
      <c r="F241" s="90" t="str">
        <f>IFERROR(__xludf.dummyfunction("""COMPUTED_VALUE"""),"INFANTIL 3")</f>
        <v>INFANTIL 3</v>
      </c>
      <c r="G241" s="90" t="str">
        <f>IFERROR(__xludf.dummyfunction("""COMPUTED_VALUE"""),"CRECHE CIRANDA CIRANDINHA")</f>
        <v>CRECHE CIRANDA CIRANDINHA</v>
      </c>
      <c r="H241" s="90" t="str">
        <f>IFERROR(__xludf.dummyfunction("""COMPUTED_VALUE"""),"REGIONAL 1")</f>
        <v>REGIONAL 1</v>
      </c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ht="15.75" customHeight="1" spans="1:26">
      <c r="A242" s="90" t="str">
        <f>IFERROR(__xludf.dummyfunction("""COMPUTED_VALUE"""),"23/04/2026 12:52:15")</f>
        <v>23/04/2026 12:52:15</v>
      </c>
      <c r="B242" s="90" t="str">
        <f>IFERROR(__xludf.dummyfunction("""COMPUTED_VALUE"""),"3")</f>
        <v>3</v>
      </c>
      <c r="C242" s="144" t="str">
        <f>IFERROR(__xludf.dummyfunction("""COMPUTED_VALUE"""),"YKARO MIGUEL DA SILVA GONÇALVES")</f>
        <v>YKARO MIGUEL DA SILVA GONÇALVES</v>
      </c>
      <c r="D242" s="90" t="str">
        <f>IFERROR(__xludf.dummyfunction("""COMPUTED_VALUE"""),"20/05/2022")</f>
        <v>20/05/2022</v>
      </c>
      <c r="E242" s="90" t="str">
        <f>IFERROR(__xludf.dummyfunction("""COMPUTED_VALUE"""),"181.678.504-04")</f>
        <v>181.678.504-04</v>
      </c>
      <c r="F242" s="90" t="str">
        <f>IFERROR(__xludf.dummyfunction("""COMPUTED_VALUE"""),"INFANTIL 3")</f>
        <v>INFANTIL 3</v>
      </c>
      <c r="G242" s="90" t="str">
        <f>IFERROR(__xludf.dummyfunction("""COMPUTED_VALUE"""),"CRECHE CIRANDA CIRANDINHA")</f>
        <v>CRECHE CIRANDA CIRANDINHA</v>
      </c>
      <c r="H242" s="90" t="str">
        <f>IFERROR(__xludf.dummyfunction("""COMPUTED_VALUE"""),"REGIONAL 1")</f>
        <v>REGIONAL 1</v>
      </c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ht="15.75" customHeight="1" spans="1:26">
      <c r="A243" s="90" t="str">
        <f>IFERROR(__xludf.dummyfunction("""COMPUTED_VALUE"""),"11/04/2026 18:35:35")</f>
        <v>11/04/2026 18:35:35</v>
      </c>
      <c r="B243" s="90" t="str">
        <f>IFERROR(__xludf.dummyfunction("""COMPUTED_VALUE"""),"1")</f>
        <v>1</v>
      </c>
      <c r="C243" s="144" t="str">
        <f>IFERROR(__xludf.dummyfunction("""COMPUTED_VALUE"""),"ESTHER GABRIELY OLIVEIRA DA SILVA")</f>
        <v>ESTHER GABRIELY OLIVEIRA DA SILVA</v>
      </c>
      <c r="D243" s="90" t="str">
        <f>IFERROR(__xludf.dummyfunction("""COMPUTED_VALUE"""),"24/08/2025")</f>
        <v>24/08/2025</v>
      </c>
      <c r="E243" s="90" t="str">
        <f>IFERROR(__xludf.dummyfunction("""COMPUTED_VALUE"""),"713.786.274-82")</f>
        <v>713.786.274-82</v>
      </c>
      <c r="F243" s="90" t="str">
        <f>IFERROR(__xludf.dummyfunction("""COMPUTED_VALUE"""),"INFANTIL 1")</f>
        <v>INFANTIL 1</v>
      </c>
      <c r="G243" s="90" t="str">
        <f>IFERROR(__xludf.dummyfunction("""COMPUTED_VALUE"""),"CRECHE MERCIA DE ALBUQUERQUE")</f>
        <v>CRECHE MERCIA DE ALBUQUERQUE</v>
      </c>
      <c r="H243" s="90" t="str">
        <f>IFERROR(__xludf.dummyfunction("""COMPUTED_VALUE"""),"REGIONAL 6")</f>
        <v>REGIONAL 6</v>
      </c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ht="15.75" customHeight="1" spans="1:26">
      <c r="A244" s="90" t="str">
        <f>IFERROR(__xludf.dummyfunction("""COMPUTED_VALUE"""),"04/05/2026 08:16:27")</f>
        <v>04/05/2026 08:16:27</v>
      </c>
      <c r="B244" s="90" t="str">
        <f>IFERROR(__xludf.dummyfunction("""COMPUTED_VALUE"""),"2")</f>
        <v>2</v>
      </c>
      <c r="C244" s="144" t="str">
        <f>IFERROR(__xludf.dummyfunction("""COMPUTED_VALUE"""),"KAIC CAINAN TOBIAS LEITE BOMFIM")</f>
        <v>KAIC CAINAN TOBIAS LEITE BOMFIM</v>
      </c>
      <c r="D244" s="90" t="str">
        <f>IFERROR(__xludf.dummyfunction("""COMPUTED_VALUE"""),"24/08/2024")</f>
        <v>24/08/2024</v>
      </c>
      <c r="E244" s="90" t="str">
        <f>IFERROR(__xludf.dummyfunction("""COMPUTED_VALUE"""),"003.941.314-44")</f>
        <v>003.941.314-44</v>
      </c>
      <c r="F244" s="90" t="str">
        <f>IFERROR(__xludf.dummyfunction("""COMPUTED_VALUE"""),"INFANTIL 1")</f>
        <v>INFANTIL 1</v>
      </c>
      <c r="G244" s="90" t="str">
        <f>IFERROR(__xludf.dummyfunction("""COMPUTED_VALUE"""),"CRECHE MERCIA DE ALBUQUERQUE")</f>
        <v>CRECHE MERCIA DE ALBUQUERQUE</v>
      </c>
      <c r="H244" s="90" t="str">
        <f>IFERROR(__xludf.dummyfunction("""COMPUTED_VALUE"""),"REGIONAL 6")</f>
        <v>REGIONAL 6</v>
      </c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ht="15.75" customHeight="1" spans="1:26">
      <c r="A245" s="90" t="str">
        <f>IFERROR(__xludf.dummyfunction("""COMPUTED_VALUE"""),"21/05/2026 14:53:13")</f>
        <v>21/05/2026 14:53:13</v>
      </c>
      <c r="B245" s="90" t="str">
        <f>IFERROR(__xludf.dummyfunction("""COMPUTED_VALUE"""),"3")</f>
        <v>3</v>
      </c>
      <c r="C245" s="144" t="str">
        <f>IFERROR(__xludf.dummyfunction("""COMPUTED_VALUE"""),"Erick Paes de Melo Ferreira")</f>
        <v>Erick Paes de Melo Ferreira</v>
      </c>
      <c r="D245" s="90" t="str">
        <f>IFERROR(__xludf.dummyfunction("""COMPUTED_VALUE"""),"30/12/2025")</f>
        <v>30/12/2025</v>
      </c>
      <c r="E245" s="90" t="str">
        <f>IFERROR(__xludf.dummyfunction("""COMPUTED_VALUE"""),"034.993.594-72")</f>
        <v>034.993.594-72</v>
      </c>
      <c r="F245" s="90" t="str">
        <f>IFERROR(__xludf.dummyfunction("""COMPUTED_VALUE"""),"INFANTIL 1")</f>
        <v>INFANTIL 1</v>
      </c>
      <c r="G245" s="90" t="str">
        <f>IFERROR(__xludf.dummyfunction("""COMPUTED_VALUE"""),"CRECHE MERCIA DE ALBUQUERQUE")</f>
        <v>CRECHE MERCIA DE ALBUQUERQUE</v>
      </c>
      <c r="H245" s="90" t="str">
        <f>IFERROR(__xludf.dummyfunction("""COMPUTED_VALUE"""),"REGIONAL 6")</f>
        <v>REGIONAL 6</v>
      </c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ht="15.75" customHeight="1" spans="1:26">
      <c r="A246" s="90" t="str">
        <f>IFERROR(__xludf.dummyfunction("""COMPUTED_VALUE"""),"08/06/2026 13:47:18")</f>
        <v>08/06/2026 13:47:18</v>
      </c>
      <c r="B246" s="90" t="str">
        <f>IFERROR(__xludf.dummyfunction("""COMPUTED_VALUE"""),"4")</f>
        <v>4</v>
      </c>
      <c r="C246" s="144" t="str">
        <f>IFERROR(__xludf.dummyfunction("""COMPUTED_VALUE"""),"Luís Miguel Barros Borges")</f>
        <v>Luís Miguel Barros Borges</v>
      </c>
      <c r="D246" s="90" t="str">
        <f>IFERROR(__xludf.dummyfunction("""COMPUTED_VALUE"""),"11/02/2025")</f>
        <v>11/02/2025</v>
      </c>
      <c r="E246" s="90" t="str">
        <f>IFERROR(__xludf.dummyfunction("""COMPUTED_VALUE"""),"005.346.544-01")</f>
        <v>005.346.544-01</v>
      </c>
      <c r="F246" s="90" t="str">
        <f>IFERROR(__xludf.dummyfunction("""COMPUTED_VALUE"""),"INFANTIL 1")</f>
        <v>INFANTIL 1</v>
      </c>
      <c r="G246" s="90" t="str">
        <f>IFERROR(__xludf.dummyfunction("""COMPUTED_VALUE"""),"CRECHE MERCIA DE ALBUQUERQUE")</f>
        <v>CRECHE MERCIA DE ALBUQUERQUE</v>
      </c>
      <c r="H246" s="90" t="str">
        <f>IFERROR(__xludf.dummyfunction("""COMPUTED_VALUE"""),"REGIONAL 6")</f>
        <v>REGIONAL 6</v>
      </c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ht="15.75" customHeight="1" spans="1:26">
      <c r="A247" s="90" t="str">
        <f>IFERROR(__xludf.dummyfunction("""COMPUTED_VALUE"""),"13/07/2026 14:49:27")</f>
        <v>13/07/2026 14:49:27</v>
      </c>
      <c r="B247" s="90" t="str">
        <f>IFERROR(__xludf.dummyfunction("""COMPUTED_VALUE"""),"5")</f>
        <v>5</v>
      </c>
      <c r="C247" s="144" t="str">
        <f>IFERROR(__xludf.dummyfunction("""COMPUTED_VALUE"""),"SAMUEL ABNER DOS SANTOS SILVA")</f>
        <v>SAMUEL ABNER DOS SANTOS SILVA</v>
      </c>
      <c r="D247" s="90" t="str">
        <f>IFERROR(__xludf.dummyfunction("""COMPUTED_VALUE"""),"30/04/2024")</f>
        <v>30/04/2024</v>
      </c>
      <c r="E247" s="90" t="str">
        <f>IFERROR(__xludf.dummyfunction("""COMPUTED_VALUE"""),"002.835.994-13")</f>
        <v>002.835.994-13</v>
      </c>
      <c r="F247" s="90" t="str">
        <f>IFERROR(__xludf.dummyfunction("""COMPUTED_VALUE"""),"INFANTIL 1")</f>
        <v>INFANTIL 1</v>
      </c>
      <c r="G247" s="90" t="str">
        <f>IFERROR(__xludf.dummyfunction("""COMPUTED_VALUE"""),"CRECHE MERCIA DE ALBUQUERQUE")</f>
        <v>CRECHE MERCIA DE ALBUQUERQUE</v>
      </c>
      <c r="H247" s="90" t="str">
        <f>IFERROR(__xludf.dummyfunction("""COMPUTED_VALUE"""),"REGIONAL 6")</f>
        <v>REGIONAL 6</v>
      </c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ht="15.75" customHeight="1" spans="1:26">
      <c r="A248" s="90" t="str">
        <f>IFERROR(__xludf.dummyfunction("""COMPUTED_VALUE"""),"03/08/2026 09:52:52")</f>
        <v>03/08/2026 09:52:52</v>
      </c>
      <c r="B248" s="90" t="str">
        <f>IFERROR(__xludf.dummyfunction("""COMPUTED_VALUE"""),"6")</f>
        <v>6</v>
      </c>
      <c r="C248" s="144" t="str">
        <f>IFERROR(__xludf.dummyfunction("""COMPUTED_VALUE"""),"Vicente Curvelo Barbosa")</f>
        <v>Vicente Curvelo Barbosa</v>
      </c>
      <c r="D248" s="90" t="str">
        <f>IFERROR(__xludf.dummyfunction("""COMPUTED_VALUE"""),"19/08/2025")</f>
        <v>19/08/2025</v>
      </c>
      <c r="E248" s="90" t="str">
        <f>IFERROR(__xludf.dummyfunction("""COMPUTED_VALUE"""),"007.144.254-51")</f>
        <v>007.144.254-51</v>
      </c>
      <c r="F248" s="90" t="str">
        <f>IFERROR(__xludf.dummyfunction("""COMPUTED_VALUE"""),"INFANTIL 1")</f>
        <v>INFANTIL 1</v>
      </c>
      <c r="G248" s="90" t="str">
        <f>IFERROR(__xludf.dummyfunction("""COMPUTED_VALUE"""),"CRECHE MERCIA DE ALBUQUERQUE")</f>
        <v>CRECHE MERCIA DE ALBUQUERQUE</v>
      </c>
      <c r="H248" s="90" t="str">
        <f>IFERROR(__xludf.dummyfunction("""COMPUTED_VALUE"""),"REGIONAL 6")</f>
        <v>REGIONAL 6</v>
      </c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ht="15.75" customHeight="1" spans="1:26">
      <c r="A249" s="90" t="str">
        <f>IFERROR(__xludf.dummyfunction("""COMPUTED_VALUE"""),"26/08/2026 17:16:19")</f>
        <v>26/08/2026 17:16:19</v>
      </c>
      <c r="B249" s="90" t="str">
        <f>IFERROR(__xludf.dummyfunction("""COMPUTED_VALUE"""),"7")</f>
        <v>7</v>
      </c>
      <c r="C249" s="144" t="str">
        <f>IFERROR(__xludf.dummyfunction("""COMPUTED_VALUE"""),"Luna Gabriele Lima da Silva")</f>
        <v>Luna Gabriele Lima da Silva</v>
      </c>
      <c r="D249" s="90" t="str">
        <f>IFERROR(__xludf.dummyfunction("""COMPUTED_VALUE"""),"15/06/2024")</f>
        <v>15/06/2024</v>
      </c>
      <c r="E249" s="90" t="str">
        <f>IFERROR(__xludf.dummyfunction("""COMPUTED_VALUE"""),"003.475.334-69")</f>
        <v>003.475.334-69</v>
      </c>
      <c r="F249" s="90" t="str">
        <f>IFERROR(__xludf.dummyfunction("""COMPUTED_VALUE"""),"INFANTIL 1")</f>
        <v>INFANTIL 1</v>
      </c>
      <c r="G249" s="90" t="str">
        <f>IFERROR(__xludf.dummyfunction("""COMPUTED_VALUE"""),"CRECHE MERCIA DE ALBUQUERQUE")</f>
        <v>CRECHE MERCIA DE ALBUQUERQUE</v>
      </c>
      <c r="H249" s="90" t="str">
        <f>IFERROR(__xludf.dummyfunction("""COMPUTED_VALUE"""),"REGIONAL 6")</f>
        <v>REGIONAL 6</v>
      </c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ht="15.75" customHeight="1" spans="1:26">
      <c r="A250" s="90" t="str">
        <f>IFERROR(__xludf.dummyfunction("""COMPUTED_VALUE"""),"28/08/2026 12:21:08")</f>
        <v>28/08/2026 12:21:08</v>
      </c>
      <c r="B250" s="90" t="str">
        <f>IFERROR(__xludf.dummyfunction("""COMPUTED_VALUE"""),"8")</f>
        <v>8</v>
      </c>
      <c r="C250" s="144" t="str">
        <f>IFERROR(__xludf.dummyfunction("""COMPUTED_VALUE"""),"Maria Helena dos santos nascimento")</f>
        <v>Maria Helena dos santos nascimento</v>
      </c>
      <c r="D250" s="90" t="str">
        <f>IFERROR(__xludf.dummyfunction("""COMPUTED_VALUE"""),"13/01/2026")</f>
        <v>13/01/2026</v>
      </c>
      <c r="E250" s="90" t="str">
        <f>IFERROR(__xludf.dummyfunction("""COMPUTED_VALUE"""),"071.713.234-04")</f>
        <v>071.713.234-04</v>
      </c>
      <c r="F250" s="90" t="str">
        <f>IFERROR(__xludf.dummyfunction("""COMPUTED_VALUE"""),"INFANTIL 1")</f>
        <v>INFANTIL 1</v>
      </c>
      <c r="G250" s="90" t="str">
        <f>IFERROR(__xludf.dummyfunction("""COMPUTED_VALUE"""),"CRECHE MERCIA DE ALBUQUERQUE")</f>
        <v>CRECHE MERCIA DE ALBUQUERQUE</v>
      </c>
      <c r="H250" s="90" t="str">
        <f>IFERROR(__xludf.dummyfunction("""COMPUTED_VALUE"""),"REGIONAL 6")</f>
        <v>REGIONAL 6</v>
      </c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ht="15.75" customHeight="1" spans="1:26">
      <c r="A251" s="90" t="str">
        <f>IFERROR(__xludf.dummyfunction("""COMPUTED_VALUE"""),"04/09/2026 16:38:23")</f>
        <v>04/09/2026 16:38:23</v>
      </c>
      <c r="B251" s="90" t="str">
        <f>IFERROR(__xludf.dummyfunction("""COMPUTED_VALUE"""),"9")</f>
        <v>9</v>
      </c>
      <c r="C251" s="144" t="str">
        <f>IFERROR(__xludf.dummyfunction("""COMPUTED_VALUE"""),"MARIA HELENA TELLES DA SILVA")</f>
        <v>MARIA HELENA TELLES DA SILVA</v>
      </c>
      <c r="D251" s="90" t="str">
        <f>IFERROR(__xludf.dummyfunction("""COMPUTED_VALUE"""),"19/09/2025")</f>
        <v>19/09/2025</v>
      </c>
      <c r="E251" s="90" t="str">
        <f>IFERROR(__xludf.dummyfunction("""COMPUTED_VALUE"""),"010.760.604-63")</f>
        <v>010.760.604-63</v>
      </c>
      <c r="F251" s="90" t="str">
        <f>IFERROR(__xludf.dummyfunction("""COMPUTED_VALUE"""),"INFANTIL 1")</f>
        <v>INFANTIL 1</v>
      </c>
      <c r="G251" s="90" t="str">
        <f>IFERROR(__xludf.dummyfunction("""COMPUTED_VALUE"""),"CRECHE MERCIA DE ALBUQUERQUE")</f>
        <v>CRECHE MERCIA DE ALBUQUERQUE</v>
      </c>
      <c r="H251" s="90" t="str">
        <f>IFERROR(__xludf.dummyfunction("""COMPUTED_VALUE"""),"REGIONAL 6")</f>
        <v>REGIONAL 6</v>
      </c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ht="15.75" customHeight="1" spans="1:26">
      <c r="A252" s="90" t="str">
        <f>IFERROR(__xludf.dummyfunction("""COMPUTED_VALUE"""),"02/03/2026 15:50:23")</f>
        <v>02/03/2026 15:50:23</v>
      </c>
      <c r="B252" s="90" t="str">
        <f>IFERROR(__xludf.dummyfunction("""COMPUTED_VALUE"""),"1")</f>
        <v>1</v>
      </c>
      <c r="C252" s="144" t="str">
        <f>IFERROR(__xludf.dummyfunction("""COMPUTED_VALUE"""),"JOSÉ HENRIQUE DA SILVA FILHO")</f>
        <v>JOSÉ HENRIQUE DA SILVA FILHO</v>
      </c>
      <c r="D252" s="90" t="str">
        <f>IFERROR(__xludf.dummyfunction("""COMPUTED_VALUE"""),"25/07/2023")</f>
        <v>25/07/2023</v>
      </c>
      <c r="E252" s="90" t="str">
        <f>IFERROR(__xludf.dummyfunction("""COMPUTED_VALUE"""),"186.055.224-29")</f>
        <v>186.055.224-29</v>
      </c>
      <c r="F252" s="90" t="str">
        <f>IFERROR(__xludf.dummyfunction("""COMPUTED_VALUE"""),"INFANTIL 2")</f>
        <v>INFANTIL 2</v>
      </c>
      <c r="G252" s="90" t="str">
        <f>IFERROR(__xludf.dummyfunction("""COMPUTED_VALUE"""),"CRECHE MERCIA DE ALBUQUERQUE")</f>
        <v>CRECHE MERCIA DE ALBUQUERQUE</v>
      </c>
      <c r="H252" s="90" t="str">
        <f>IFERROR(__xludf.dummyfunction("""COMPUTED_VALUE"""),"REGIONAL 6")</f>
        <v>REGIONAL 6</v>
      </c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ht="15.75" customHeight="1" spans="1:26">
      <c r="A253" s="90" t="str">
        <f>IFERROR(__xludf.dummyfunction("""COMPUTED_VALUE"""),"11/03/2026 07:47:14")</f>
        <v>11/03/2026 07:47:14</v>
      </c>
      <c r="B253" s="90" t="str">
        <f>IFERROR(__xludf.dummyfunction("""COMPUTED_VALUE"""),"2")</f>
        <v>2</v>
      </c>
      <c r="C253" s="144" t="str">
        <f>IFERROR(__xludf.dummyfunction("""COMPUTED_VALUE"""),"THEO DAVI BARBOSA DA SILVA")</f>
        <v>THEO DAVI BARBOSA DA SILVA</v>
      </c>
      <c r="D253" s="90" t="str">
        <f>IFERROR(__xludf.dummyfunction("""COMPUTED_VALUE"""),"22/09/2023")</f>
        <v>22/09/2023</v>
      </c>
      <c r="E253" s="90" t="str">
        <f>IFERROR(__xludf.dummyfunction("""COMPUTED_VALUE"""),"000.011.754-40")</f>
        <v>000.011.754-40</v>
      </c>
      <c r="F253" s="90" t="str">
        <f>IFERROR(__xludf.dummyfunction("""COMPUTED_VALUE"""),"INFANTIL 2")</f>
        <v>INFANTIL 2</v>
      </c>
      <c r="G253" s="90" t="str">
        <f>IFERROR(__xludf.dummyfunction("""COMPUTED_VALUE"""),"CRECHE MERCIA DE ALBUQUERQUE")</f>
        <v>CRECHE MERCIA DE ALBUQUERQUE</v>
      </c>
      <c r="H253" s="90" t="str">
        <f>IFERROR(__xludf.dummyfunction("""COMPUTED_VALUE"""),"REGIONAL 6")</f>
        <v>REGIONAL 6</v>
      </c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ht="15.75" customHeight="1" spans="1:26">
      <c r="A254" s="90" t="str">
        <f>IFERROR(__xludf.dummyfunction("""COMPUTED_VALUE"""),"25/03/2026 13:04:37")</f>
        <v>25/03/2026 13:04:37</v>
      </c>
      <c r="B254" s="90" t="str">
        <f>IFERROR(__xludf.dummyfunction("""COMPUTED_VALUE"""),"3")</f>
        <v>3</v>
      </c>
      <c r="C254" s="144" t="str">
        <f>IFERROR(__xludf.dummyfunction("""COMPUTED_VALUE"""),"BERNARDO LEON SILVA DOS SANTOS")</f>
        <v>BERNARDO LEON SILVA DOS SANTOS</v>
      </c>
      <c r="D254" s="90" t="str">
        <f>IFERROR(__xludf.dummyfunction("""COMPUTED_VALUE"""),"14/10/2023")</f>
        <v>14/10/2023</v>
      </c>
      <c r="E254" s="90" t="str">
        <f>IFERROR(__xludf.dummyfunction("""COMPUTED_VALUE"""),"000.490.714-08")</f>
        <v>000.490.714-08</v>
      </c>
      <c r="F254" s="90" t="str">
        <f>IFERROR(__xludf.dummyfunction("""COMPUTED_VALUE"""),"INFANTIL 2")</f>
        <v>INFANTIL 2</v>
      </c>
      <c r="G254" s="90" t="str">
        <f>IFERROR(__xludf.dummyfunction("""COMPUTED_VALUE"""),"CRECHE MERCIA DE ALBUQUERQUE")</f>
        <v>CRECHE MERCIA DE ALBUQUERQUE</v>
      </c>
      <c r="H254" s="90" t="str">
        <f>IFERROR(__xludf.dummyfunction("""COMPUTED_VALUE"""),"REGIONAL 6")</f>
        <v>REGIONAL 6</v>
      </c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ht="15.75" customHeight="1" spans="1:26">
      <c r="A255" s="90" t="str">
        <f>IFERROR(__xludf.dummyfunction("""COMPUTED_VALUE"""),"15/07/2026 09:23:58")</f>
        <v>15/07/2026 09:23:58</v>
      </c>
      <c r="B255" s="90" t="str">
        <f>IFERROR(__xludf.dummyfunction("""COMPUTED_VALUE"""),"4")</f>
        <v>4</v>
      </c>
      <c r="C255" s="144" t="str">
        <f>IFERROR(__xludf.dummyfunction("""COMPUTED_VALUE"""),"Gustavo da Silva Benedito")</f>
        <v>Gustavo da Silva Benedito</v>
      </c>
      <c r="D255" s="90" t="str">
        <f>IFERROR(__xludf.dummyfunction("""COMPUTED_VALUE"""),"01/08/2023")</f>
        <v>01/08/2023</v>
      </c>
      <c r="E255" s="90" t="str">
        <f>IFERROR(__xludf.dummyfunction("""COMPUTED_VALUE"""),"186.140.534-01")</f>
        <v>186.140.534-01</v>
      </c>
      <c r="F255" s="90" t="str">
        <f>IFERROR(__xludf.dummyfunction("""COMPUTED_VALUE"""),"INFANTIL 2")</f>
        <v>INFANTIL 2</v>
      </c>
      <c r="G255" s="90" t="str">
        <f>IFERROR(__xludf.dummyfunction("""COMPUTED_VALUE"""),"CRECHE MERCIA DE ALBUQUERQUE")</f>
        <v>CRECHE MERCIA DE ALBUQUERQUE</v>
      </c>
      <c r="H255" s="90" t="str">
        <f>IFERROR(__xludf.dummyfunction("""COMPUTED_VALUE"""),"REGIONAL 6")</f>
        <v>REGIONAL 6</v>
      </c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ht="15.75" customHeight="1" spans="1:26">
      <c r="A256" s="90" t="str">
        <f>IFERROR(__xludf.dummyfunction("""COMPUTED_VALUE"""),"23/07/2026 11:19:34")</f>
        <v>23/07/2026 11:19:34</v>
      </c>
      <c r="B256" s="90" t="str">
        <f>IFERROR(__xludf.dummyfunction("""COMPUTED_VALUE"""),"5")</f>
        <v>5</v>
      </c>
      <c r="C256" s="144" t="str">
        <f>IFERROR(__xludf.dummyfunction("""COMPUTED_VALUE"""),"João Pedro Pereira Xavier")</f>
        <v>João Pedro Pereira Xavier</v>
      </c>
      <c r="D256" s="90" t="str">
        <f>IFERROR(__xludf.dummyfunction("""COMPUTED_VALUE"""),"16/03/2024")</f>
        <v>16/03/2024</v>
      </c>
      <c r="E256" s="90" t="str">
        <f>IFERROR(__xludf.dummyfunction("""COMPUTED_VALUE"""),"002.397.874-04")</f>
        <v>002.397.874-04</v>
      </c>
      <c r="F256" s="90" t="str">
        <f>IFERROR(__xludf.dummyfunction("""COMPUTED_VALUE"""),"INFANTIL 2")</f>
        <v>INFANTIL 2</v>
      </c>
      <c r="G256" s="90" t="str">
        <f>IFERROR(__xludf.dummyfunction("""COMPUTED_VALUE"""),"CRECHE MERCIA DE ALBUQUERQUE")</f>
        <v>CRECHE MERCIA DE ALBUQUERQUE</v>
      </c>
      <c r="H256" s="90" t="str">
        <f>IFERROR(__xludf.dummyfunction("""COMPUTED_VALUE"""),"REGIONAL 6")</f>
        <v>REGIONAL 6</v>
      </c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ht="15.75" customHeight="1" spans="1:26">
      <c r="A257" s="90" t="str">
        <f>IFERROR(__xludf.dummyfunction("""COMPUTED_VALUE"""),"23/09/2026 16:09:51")</f>
        <v>23/09/2026 16:09:51</v>
      </c>
      <c r="B257" s="90" t="str">
        <f>IFERROR(__xludf.dummyfunction("""COMPUTED_VALUE"""),"6")</f>
        <v>6</v>
      </c>
      <c r="C257" s="144" t="str">
        <f>IFERROR(__xludf.dummyfunction("""COMPUTED_VALUE"""),"Arthur Miguel de Souza Gomes")</f>
        <v>Arthur Miguel de Souza Gomes</v>
      </c>
      <c r="D257" s="90" t="str">
        <f>IFERROR(__xludf.dummyfunction("""COMPUTED_VALUE"""),"07/11/2023")</f>
        <v>07/11/2023</v>
      </c>
      <c r="E257" s="90" t="str">
        <f>IFERROR(__xludf.dummyfunction("""COMPUTED_VALUE"""),"000.859.884-30")</f>
        <v>000.859.884-30</v>
      </c>
      <c r="F257" s="90" t="str">
        <f>IFERROR(__xludf.dummyfunction("""COMPUTED_VALUE"""),"INFANTIL 2")</f>
        <v>INFANTIL 2</v>
      </c>
      <c r="G257" s="90" t="str">
        <f>IFERROR(__xludf.dummyfunction("""COMPUTED_VALUE"""),"CRECHE MERCIA DE ALBUQUERQUE")</f>
        <v>CRECHE MERCIA DE ALBUQUERQUE</v>
      </c>
      <c r="H257" s="90" t="str">
        <f>IFERROR(__xludf.dummyfunction("""COMPUTED_VALUE"""),"REGIONAL 6")</f>
        <v>REGIONAL 6</v>
      </c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ht="15.75" customHeight="1" spans="1:26">
      <c r="A258" s="90" t="str">
        <f>IFERROR(__xludf.dummyfunction("""COMPUTED_VALUE"""),"29/01/2026 13:35:30")</f>
        <v>29/01/2026 13:35:30</v>
      </c>
      <c r="B258" s="90" t="str">
        <f>IFERROR(__xludf.dummyfunction("""COMPUTED_VALUE"""),"1")</f>
        <v>1</v>
      </c>
      <c r="C258" s="144" t="str">
        <f>IFERROR(__xludf.dummyfunction("""COMPUTED_VALUE"""),"JOÃO DAVI DOS SANTOS")</f>
        <v>JOÃO DAVI DOS SANTOS</v>
      </c>
      <c r="D258" s="90" t="str">
        <f>IFERROR(__xludf.dummyfunction("""COMPUTED_VALUE"""),"26/08/2024")</f>
        <v>26/08/2024</v>
      </c>
      <c r="E258" s="90" t="str">
        <f>IFERROR(__xludf.dummyfunction("""COMPUTED_VALUE"""),"003.980.624-39")</f>
        <v>003.980.624-39</v>
      </c>
      <c r="F258" s="90" t="str">
        <f>IFERROR(__xludf.dummyfunction("""COMPUTED_VALUE"""),"INFANTIL 1")</f>
        <v>INFANTIL 1</v>
      </c>
      <c r="G258" s="90" t="str">
        <f>IFERROR(__xludf.dummyfunction("""COMPUTED_VALUE"""),"CRECHE MUNDO ENCANTADO")</f>
        <v>CRECHE MUNDO ENCANTADO</v>
      </c>
      <c r="H258" s="90" t="str">
        <f>IFERROR(__xludf.dummyfunction("""COMPUTED_VALUE"""),"REGIONAL 3")</f>
        <v>REGIONAL 3</v>
      </c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ht="15.75" customHeight="1" spans="1:26">
      <c r="A259" s="90" t="str">
        <f>IFERROR(__xludf.dummyfunction("""COMPUTED_VALUE"""),"29/01/2026 14:12:29")</f>
        <v>29/01/2026 14:12:29</v>
      </c>
      <c r="B259" s="90" t="str">
        <f>IFERROR(__xludf.dummyfunction("""COMPUTED_VALUE"""),"2")</f>
        <v>2</v>
      </c>
      <c r="C259" s="144" t="str">
        <f>IFERROR(__xludf.dummyfunction("""COMPUTED_VALUE"""),"JOSÉ FLÁVIO BATISTA DA SILVA COSTA")</f>
        <v>JOSÉ FLÁVIO BATISTA DA SILVA COSTA</v>
      </c>
      <c r="D259" s="90" t="str">
        <f>IFERROR(__xludf.dummyfunction("""COMPUTED_VALUE"""),"13/03/2025")</f>
        <v>13/03/2025</v>
      </c>
      <c r="E259" s="90" t="str">
        <f>IFERROR(__xludf.dummyfunction("""COMPUTED_VALUE"""),"006.104.144-02")</f>
        <v>006.104.144-02</v>
      </c>
      <c r="F259" s="90" t="str">
        <f>IFERROR(__xludf.dummyfunction("""COMPUTED_VALUE"""),"INFANTIL 1")</f>
        <v>INFANTIL 1</v>
      </c>
      <c r="G259" s="90" t="str">
        <f>IFERROR(__xludf.dummyfunction("""COMPUTED_VALUE"""),"CRECHE MUNDO ENCANTADO")</f>
        <v>CRECHE MUNDO ENCANTADO</v>
      </c>
      <c r="H259" s="90" t="str">
        <f>IFERROR(__xludf.dummyfunction("""COMPUTED_VALUE"""),"REGIONAL 3")</f>
        <v>REGIONAL 3</v>
      </c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ht="15.75" customHeight="1" spans="1:26">
      <c r="A260" s="90" t="str">
        <f>IFERROR(__xludf.dummyfunction("""COMPUTED_VALUE"""),"19/02/2026 21:16:01")</f>
        <v>19/02/2026 21:16:01</v>
      </c>
      <c r="B260" s="90" t="str">
        <f>IFERROR(__xludf.dummyfunction("""COMPUTED_VALUE"""),"3")</f>
        <v>3</v>
      </c>
      <c r="C260" s="144" t="str">
        <f>IFERROR(__xludf.dummyfunction("""COMPUTED_VALUE"""),"HELENA AZEVEDO DA SILVA")</f>
        <v>HELENA AZEVEDO DA SILVA</v>
      </c>
      <c r="D260" s="90" t="str">
        <f>IFERROR(__xludf.dummyfunction("""COMPUTED_VALUE"""),"19/05/2024")</f>
        <v>19/05/2024</v>
      </c>
      <c r="E260" s="90" t="str">
        <f>IFERROR(__xludf.dummyfunction("""COMPUTED_VALUE"""),"003.112.504-24")</f>
        <v>003.112.504-24</v>
      </c>
      <c r="F260" s="90" t="str">
        <f>IFERROR(__xludf.dummyfunction("""COMPUTED_VALUE"""),"INFANTIL 1")</f>
        <v>INFANTIL 1</v>
      </c>
      <c r="G260" s="90" t="str">
        <f>IFERROR(__xludf.dummyfunction("""COMPUTED_VALUE"""),"CRECHE MUNDO ENCANTADO")</f>
        <v>CRECHE MUNDO ENCANTADO</v>
      </c>
      <c r="H260" s="90" t="str">
        <f>IFERROR(__xludf.dummyfunction("""COMPUTED_VALUE"""),"REGIONAL 3")</f>
        <v>REGIONAL 3</v>
      </c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ht="15.75" customHeight="1" spans="1:26">
      <c r="A261" s="90" t="str">
        <f>IFERROR(__xludf.dummyfunction("""COMPUTED_VALUE"""),"28/02/2026 20:58:43")</f>
        <v>28/02/2026 20:58:43</v>
      </c>
      <c r="B261" s="90" t="str">
        <f>IFERROR(__xludf.dummyfunction("""COMPUTED_VALUE"""),"4")</f>
        <v>4</v>
      </c>
      <c r="C261" s="144" t="str">
        <f>IFERROR(__xludf.dummyfunction("""COMPUTED_VALUE"""),"LAYANNE GOMES PAULINO DA SILVA")</f>
        <v>LAYANNE GOMES PAULINO DA SILVA</v>
      </c>
      <c r="D261" s="90" t="str">
        <f>IFERROR(__xludf.dummyfunction("""COMPUTED_VALUE"""),"12/04/2025")</f>
        <v>12/04/2025</v>
      </c>
      <c r="E261" s="90" t="str">
        <f>IFERROR(__xludf.dummyfunction("""COMPUTED_VALUE"""),"005.882.074-46")</f>
        <v>005.882.074-46</v>
      </c>
      <c r="F261" s="90" t="str">
        <f>IFERROR(__xludf.dummyfunction("""COMPUTED_VALUE"""),"INFANTIL 1")</f>
        <v>INFANTIL 1</v>
      </c>
      <c r="G261" s="90" t="str">
        <f>IFERROR(__xludf.dummyfunction("""COMPUTED_VALUE"""),"CRECHE MUNDO ENCANTADO")</f>
        <v>CRECHE MUNDO ENCANTADO</v>
      </c>
      <c r="H261" s="90" t="str">
        <f>IFERROR(__xludf.dummyfunction("""COMPUTED_VALUE"""),"REGIONAL 3")</f>
        <v>REGIONAL 3</v>
      </c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ht="15.75" customHeight="1" spans="1:26">
      <c r="A262" s="90" t="str">
        <f>IFERROR(__xludf.dummyfunction("""COMPUTED_VALUE"""),"28/04/2026 11:00:10")</f>
        <v>28/04/2026 11:00:10</v>
      </c>
      <c r="B262" s="90" t="str">
        <f>IFERROR(__xludf.dummyfunction("""COMPUTED_VALUE"""),"5")</f>
        <v>5</v>
      </c>
      <c r="C262" s="90" t="str">
        <f>IFERROR(__xludf.dummyfunction("""COMPUTED_VALUE"""),"MARINA GOMES SANTOS GUIMARAES")</f>
        <v>MARINA GOMES SANTOS GUIMARAES</v>
      </c>
      <c r="D262" s="90" t="str">
        <f>IFERROR(__xludf.dummyfunction("""COMPUTED_VALUE"""),"11/04/2025")</f>
        <v>11/04/2025</v>
      </c>
      <c r="E262" s="90" t="str">
        <f>IFERROR(__xludf.dummyfunction("""COMPUTED_VALUE"""),"005.894.784-19")</f>
        <v>005.894.784-19</v>
      </c>
      <c r="F262" s="90" t="str">
        <f>IFERROR(__xludf.dummyfunction("""COMPUTED_VALUE"""),"INFANTIL 1")</f>
        <v>INFANTIL 1</v>
      </c>
      <c r="G262" s="90" t="str">
        <f>IFERROR(__xludf.dummyfunction("""COMPUTED_VALUE"""),"CRECHE MUNDO ENCANTADO")</f>
        <v>CRECHE MUNDO ENCANTADO</v>
      </c>
      <c r="H262" s="90" t="str">
        <f>IFERROR(__xludf.dummyfunction("""COMPUTED_VALUE"""),"REGIONAL 3")</f>
        <v>REGIONAL 3</v>
      </c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ht="15.75" customHeight="1" spans="1:26">
      <c r="A263" s="90" t="str">
        <f>IFERROR(__xludf.dummyfunction("""COMPUTED_VALUE"""),"25/05/2026 18:39:15")</f>
        <v>25/05/2026 18:39:15</v>
      </c>
      <c r="B263" s="90" t="str">
        <f>IFERROR(__xludf.dummyfunction("""COMPUTED_VALUE"""),"6")</f>
        <v>6</v>
      </c>
      <c r="C263" s="90" t="str">
        <f>IFERROR(__xludf.dummyfunction("""COMPUTED_VALUE"""),"Mallu Yarin Rodrigues Macêdo Vaz")</f>
        <v>Mallu Yarin Rodrigues Macêdo Vaz</v>
      </c>
      <c r="D263" s="90" t="str">
        <f>IFERROR(__xludf.dummyfunction("""COMPUTED_VALUE"""),"29/12/2024")</f>
        <v>29/12/2024</v>
      </c>
      <c r="E263" s="90" t="str">
        <f>IFERROR(__xludf.dummyfunction("""COMPUTED_VALUE"""),"004.957.764-67")</f>
        <v>004.957.764-67</v>
      </c>
      <c r="F263" s="90" t="str">
        <f>IFERROR(__xludf.dummyfunction("""COMPUTED_VALUE"""),"INFANTIL 1")</f>
        <v>INFANTIL 1</v>
      </c>
      <c r="G263" s="90" t="str">
        <f>IFERROR(__xludf.dummyfunction("""COMPUTED_VALUE"""),"CRECHE MUNDO ENCANTADO")</f>
        <v>CRECHE MUNDO ENCANTADO</v>
      </c>
      <c r="H263" s="90" t="str">
        <f>IFERROR(__xludf.dummyfunction("""COMPUTED_VALUE"""),"REGIONAL 3")</f>
        <v>REGIONAL 3</v>
      </c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ht="15.75" customHeight="1" spans="1:26">
      <c r="A264" s="90" t="str">
        <f>IFERROR(__xludf.dummyfunction("""COMPUTED_VALUE"""),"09/07/2026 11:02:23")</f>
        <v>09/07/2026 11:02:23</v>
      </c>
      <c r="B264" s="90" t="str">
        <f>IFERROR(__xludf.dummyfunction("""COMPUTED_VALUE"""),"7")</f>
        <v>7</v>
      </c>
      <c r="C264" s="90" t="str">
        <f>IFERROR(__xludf.dummyfunction("""COMPUTED_VALUE"""),"Maria Helena Souza de melo")</f>
        <v>Maria Helena Souza de melo</v>
      </c>
      <c r="D264" s="90" t="str">
        <f>IFERROR(__xludf.dummyfunction("""COMPUTED_VALUE"""),"18/08/2024")</f>
        <v>18/08/2024</v>
      </c>
      <c r="E264" s="90" t="str">
        <f>IFERROR(__xludf.dummyfunction("""COMPUTED_VALUE"""),"003.834.524-22")</f>
        <v>003.834.524-22</v>
      </c>
      <c r="F264" s="90" t="str">
        <f>IFERROR(__xludf.dummyfunction("""COMPUTED_VALUE"""),"INFANTIL 1")</f>
        <v>INFANTIL 1</v>
      </c>
      <c r="G264" s="90" t="str">
        <f>IFERROR(__xludf.dummyfunction("""COMPUTED_VALUE"""),"CRECHE MUNDO ENCANTADO")</f>
        <v>CRECHE MUNDO ENCANTADO</v>
      </c>
      <c r="H264" s="90" t="str">
        <f>IFERROR(__xludf.dummyfunction("""COMPUTED_VALUE"""),"REGIONAL 3")</f>
        <v>REGIONAL 3</v>
      </c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ht="15.75" customHeight="1" spans="1:26">
      <c r="A265" s="90" t="str">
        <f>IFERROR(__xludf.dummyfunction("""COMPUTED_VALUE"""),"03/08/2026 15:31:56")</f>
        <v>03/08/2026 15:31:56</v>
      </c>
      <c r="B265" s="90" t="str">
        <f>IFERROR(__xludf.dummyfunction("""COMPUTED_VALUE"""),"8")</f>
        <v>8</v>
      </c>
      <c r="C265" s="90" t="str">
        <f>IFERROR(__xludf.dummyfunction("""COMPUTED_VALUE"""),"THÉO GABRIEL NASCIMENTO DA SILVA")</f>
        <v>THÉO GABRIEL NASCIMENTO DA SILVA</v>
      </c>
      <c r="D265" s="90" t="str">
        <f>IFERROR(__xludf.dummyfunction("""COMPUTED_VALUE"""),"29/06/2025")</f>
        <v>29/06/2025</v>
      </c>
      <c r="E265" s="90" t="str">
        <f>IFERROR(__xludf.dummyfunction("""COMPUTED_VALUE"""),"006.663.554-36")</f>
        <v>006.663.554-36</v>
      </c>
      <c r="F265" s="90" t="str">
        <f>IFERROR(__xludf.dummyfunction("""COMPUTED_VALUE"""),"INFANTIL 1")</f>
        <v>INFANTIL 1</v>
      </c>
      <c r="G265" s="90" t="str">
        <f>IFERROR(__xludf.dummyfunction("""COMPUTED_VALUE"""),"CRECHE MUNDO ENCANTADO")</f>
        <v>CRECHE MUNDO ENCANTADO</v>
      </c>
      <c r="H265" s="90" t="str">
        <f>IFERROR(__xludf.dummyfunction("""COMPUTED_VALUE"""),"REGIONAL 3")</f>
        <v>REGIONAL 3</v>
      </c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ht="15.75" customHeight="1" spans="1:26">
      <c r="A266" s="90" t="str">
        <f>IFERROR(__xludf.dummyfunction("""COMPUTED_VALUE"""),"12/08/2026 23:55:57")</f>
        <v>12/08/2026 23:55:57</v>
      </c>
      <c r="B266" s="90" t="str">
        <f>IFERROR(__xludf.dummyfunction("""COMPUTED_VALUE"""),"9")</f>
        <v>9</v>
      </c>
      <c r="C266" s="90" t="str">
        <f>IFERROR(__xludf.dummyfunction("""COMPUTED_VALUE"""),"Maria Liz Andrade Borba de Souza")</f>
        <v>Maria Liz Andrade Borba de Souza</v>
      </c>
      <c r="D266" s="90" t="str">
        <f>IFERROR(__xludf.dummyfunction("""COMPUTED_VALUE"""),"11/10/2024")</f>
        <v>11/10/2024</v>
      </c>
      <c r="E266" s="90" t="str">
        <f>IFERROR(__xludf.dummyfunction("""COMPUTED_VALUE"""),"004.419.444-77")</f>
        <v>004.419.444-77</v>
      </c>
      <c r="F266" s="90" t="str">
        <f>IFERROR(__xludf.dummyfunction("""COMPUTED_VALUE"""),"INFANTIL 1")</f>
        <v>INFANTIL 1</v>
      </c>
      <c r="G266" s="90" t="str">
        <f>IFERROR(__xludf.dummyfunction("""COMPUTED_VALUE"""),"CRECHE MUNDO ENCANTADO")</f>
        <v>CRECHE MUNDO ENCANTADO</v>
      </c>
      <c r="H266" s="90" t="str">
        <f>IFERROR(__xludf.dummyfunction("""COMPUTED_VALUE"""),"REGIONAL 3")</f>
        <v>REGIONAL 3</v>
      </c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ht="15.75" customHeight="1" spans="1:26">
      <c r="A267" s="90" t="str">
        <f>IFERROR(__xludf.dummyfunction("""COMPUTED_VALUE"""),"15/09/2026 09:58:57")</f>
        <v>15/09/2026 09:58:57</v>
      </c>
      <c r="B267" s="90" t="str">
        <f>IFERROR(__xludf.dummyfunction("""COMPUTED_VALUE"""),"10")</f>
        <v>10</v>
      </c>
      <c r="C267" s="90" t="str">
        <f>IFERROR(__xludf.dummyfunction("""COMPUTED_VALUE"""),"Endrick José Santos Gomes")</f>
        <v>Endrick José Santos Gomes</v>
      </c>
      <c r="D267" s="90" t="str">
        <f>IFERROR(__xludf.dummyfunction("""COMPUTED_VALUE"""),"22/07/2024")</f>
        <v>22/07/2024</v>
      </c>
      <c r="E267" s="90" t="str">
        <f>IFERROR(__xludf.dummyfunction("""COMPUTED_VALUE"""),"003.592.184-66")</f>
        <v>003.592.184-66</v>
      </c>
      <c r="F267" s="90" t="str">
        <f>IFERROR(__xludf.dummyfunction("""COMPUTED_VALUE"""),"INFANTIL 1")</f>
        <v>INFANTIL 1</v>
      </c>
      <c r="G267" s="90" t="str">
        <f>IFERROR(__xludf.dummyfunction("""COMPUTED_VALUE"""),"CRECHE MUNDO ENCANTADO")</f>
        <v>CRECHE MUNDO ENCANTADO</v>
      </c>
      <c r="H267" s="90" t="str">
        <f>IFERROR(__xludf.dummyfunction("""COMPUTED_VALUE"""),"REGIONAL 3")</f>
        <v>REGIONAL 3</v>
      </c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ht="15.75" customHeight="1" spans="1:26">
      <c r="A268" s="90" t="str">
        <f>IFERROR(__xludf.dummyfunction("""COMPUTED_VALUE"""),"21/09/2026 10:15:31")</f>
        <v>21/09/2026 10:15:31</v>
      </c>
      <c r="B268" s="90" t="str">
        <f>IFERROR(__xludf.dummyfunction("""COMPUTED_VALUE"""),"11")</f>
        <v>11</v>
      </c>
      <c r="C268" s="90" t="str">
        <f>IFERROR(__xludf.dummyfunction("""COMPUTED_VALUE"""),"Ravi Pietro Souza do Nascimento")</f>
        <v>Ravi Pietro Souza do Nascimento</v>
      </c>
      <c r="D268" s="90" t="str">
        <f>IFERROR(__xludf.dummyfunction("""COMPUTED_VALUE"""),"27/11/2024")</f>
        <v>27/11/2024</v>
      </c>
      <c r="E268" s="90" t="str">
        <f>IFERROR(__xludf.dummyfunction("""COMPUTED_VALUE"""),"004.720.044-84")</f>
        <v>004.720.044-84</v>
      </c>
      <c r="F268" s="90" t="str">
        <f>IFERROR(__xludf.dummyfunction("""COMPUTED_VALUE"""),"INFANTIL 1")</f>
        <v>INFANTIL 1</v>
      </c>
      <c r="G268" s="90" t="str">
        <f>IFERROR(__xludf.dummyfunction("""COMPUTED_VALUE"""),"CRECHE MUNDO ENCANTADO")</f>
        <v>CRECHE MUNDO ENCANTADO</v>
      </c>
      <c r="H268" s="90" t="str">
        <f>IFERROR(__xludf.dummyfunction("""COMPUTED_VALUE"""),"REGIONAL 3")</f>
        <v>REGIONAL 3</v>
      </c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ht="15.75" customHeight="1" spans="1:26">
      <c r="A269" s="90" t="str">
        <f>IFERROR(__xludf.dummyfunction("""COMPUTED_VALUE"""),"23/02/2026 09:25:20")</f>
        <v>23/02/2026 09:25:20</v>
      </c>
      <c r="B269" s="90" t="str">
        <f>IFERROR(__xludf.dummyfunction("""COMPUTED_VALUE"""),"1")</f>
        <v>1</v>
      </c>
      <c r="C269" s="90" t="str">
        <f>IFERROR(__xludf.dummyfunction("""COMPUTED_VALUE"""),"LARISSA ELOÁ CALIXTO DE OLIVEIRA")</f>
        <v>LARISSA ELOÁ CALIXTO DE OLIVEIRA</v>
      </c>
      <c r="D269" s="90" t="str">
        <f>IFERROR(__xludf.dummyfunction("""COMPUTED_VALUE"""),"08/07/2024")</f>
        <v>08/07/2024</v>
      </c>
      <c r="E269" s="90" t="str">
        <f>IFERROR(__xludf.dummyfunction("""COMPUTED_VALUE"""),"003.536.674-55")</f>
        <v>003.536.674-55</v>
      </c>
      <c r="F269" s="90" t="str">
        <f>IFERROR(__xludf.dummyfunction("""COMPUTED_VALUE"""),"INFANTIL 1")</f>
        <v>INFANTIL 1</v>
      </c>
      <c r="G269" s="90" t="str">
        <f>IFERROR(__xludf.dummyfunction("""COMPUTED_VALUE"""),"CRECHE MUNICIPAL PROFESSORA MARIA RITA LINS MARTINS")</f>
        <v>CRECHE MUNICIPAL PROFESSORA MARIA RITA LINS MARTINS</v>
      </c>
      <c r="H269" s="90" t="str">
        <f>IFERROR(__xludf.dummyfunction("""COMPUTED_VALUE"""),"REGIONAL 1")</f>
        <v>REGIONAL 1</v>
      </c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ht="15.75" customHeight="1" spans="1:26">
      <c r="A270" s="90" t="str">
        <f>IFERROR(__xludf.dummyfunction("""COMPUTED_VALUE"""),"23/02/2026 22:06:49")</f>
        <v>23/02/2026 22:06:49</v>
      </c>
      <c r="B270" s="90" t="str">
        <f>IFERROR(__xludf.dummyfunction("""COMPUTED_VALUE"""),"2")</f>
        <v>2</v>
      </c>
      <c r="C270" s="90" t="str">
        <f>IFERROR(__xludf.dummyfunction("""COMPUTED_VALUE"""),"BRYAN SAMUEL SANTANA DA SILVA")</f>
        <v>BRYAN SAMUEL SANTANA DA SILVA</v>
      </c>
      <c r="D270" s="90" t="str">
        <f>IFERROR(__xludf.dummyfunction("""COMPUTED_VALUE"""),"13/09/2024")</f>
        <v>13/09/2024</v>
      </c>
      <c r="E270" s="90" t="str">
        <f>IFERROR(__xludf.dummyfunction("""COMPUTED_VALUE"""),"004.324.334-73")</f>
        <v>004.324.334-73</v>
      </c>
      <c r="F270" s="90" t="str">
        <f>IFERROR(__xludf.dummyfunction("""COMPUTED_VALUE"""),"INFANTIL 1")</f>
        <v>INFANTIL 1</v>
      </c>
      <c r="G270" s="90" t="str">
        <f>IFERROR(__xludf.dummyfunction("""COMPUTED_VALUE"""),"CRECHE MUNICIPAL PROFESSORA MARIA RITA LINS MARTINS")</f>
        <v>CRECHE MUNICIPAL PROFESSORA MARIA RITA LINS MARTINS</v>
      </c>
      <c r="H270" s="90" t="str">
        <f>IFERROR(__xludf.dummyfunction("""COMPUTED_VALUE"""),"REGIONAL 1")</f>
        <v>REGIONAL 1</v>
      </c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ht="15.75" customHeight="1" spans="1:26">
      <c r="A271" s="90" t="str">
        <f>IFERROR(__xludf.dummyfunction("""COMPUTED_VALUE"""),"24/02/2026 10:47:32")</f>
        <v>24/02/2026 10:47:32</v>
      </c>
      <c r="B271" s="90" t="str">
        <f>IFERROR(__xludf.dummyfunction("""COMPUTED_VALUE"""),"3")</f>
        <v>3</v>
      </c>
      <c r="C271" s="90" t="str">
        <f>IFERROR(__xludf.dummyfunction("""COMPUTED_VALUE"""),"MARIA HELOÍSA DA SILVA MENEZES")</f>
        <v>MARIA HELOÍSA DA SILVA MENEZES</v>
      </c>
      <c r="D271" s="90" t="str">
        <f>IFERROR(__xludf.dummyfunction("""COMPUTED_VALUE"""),"17/08/2024")</f>
        <v>17/08/2024</v>
      </c>
      <c r="E271" s="90" t="str">
        <f>IFERROR(__xludf.dummyfunction("""COMPUTED_VALUE"""),"003.847.404-21")</f>
        <v>003.847.404-21</v>
      </c>
      <c r="F271" s="90" t="str">
        <f>IFERROR(__xludf.dummyfunction("""COMPUTED_VALUE"""),"INFANTIL 1")</f>
        <v>INFANTIL 1</v>
      </c>
      <c r="G271" s="90" t="str">
        <f>IFERROR(__xludf.dummyfunction("""COMPUTED_VALUE"""),"CRECHE MUNICIPAL PROFESSORA MARIA RITA LINS MARTINS")</f>
        <v>CRECHE MUNICIPAL PROFESSORA MARIA RITA LINS MARTINS</v>
      </c>
      <c r="H271" s="90" t="str">
        <f>IFERROR(__xludf.dummyfunction("""COMPUTED_VALUE"""),"REGIONAL 1")</f>
        <v>REGIONAL 1</v>
      </c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ht="15.75" customHeight="1" spans="1:26">
      <c r="A272" s="90" t="str">
        <f>IFERROR(__xludf.dummyfunction("""COMPUTED_VALUE"""),"10/05/2026 13:51:20")</f>
        <v>10/05/2026 13:51:20</v>
      </c>
      <c r="B272" s="90" t="str">
        <f>IFERROR(__xludf.dummyfunction("""COMPUTED_VALUE"""),"4")</f>
        <v>4</v>
      </c>
      <c r="C272" s="90" t="str">
        <f>IFERROR(__xludf.dummyfunction("""COMPUTED_VALUE"""),"LUNA MAITÊ DA SILVA")</f>
        <v>LUNA MAITÊ DA SILVA</v>
      </c>
      <c r="D272" s="90" t="str">
        <f>IFERROR(__xludf.dummyfunction("""COMPUTED_VALUE"""),"21/03/2025")</f>
        <v>21/03/2025</v>
      </c>
      <c r="E272" s="90" t="str">
        <f>IFERROR(__xludf.dummyfunction("""COMPUTED_VALUE"""),"007.052.864-01")</f>
        <v>007.052.864-01</v>
      </c>
      <c r="F272" s="90" t="str">
        <f>IFERROR(__xludf.dummyfunction("""COMPUTED_VALUE"""),"INFANTIL 1")</f>
        <v>INFANTIL 1</v>
      </c>
      <c r="G272" s="90" t="str">
        <f>IFERROR(__xludf.dummyfunction("""COMPUTED_VALUE"""),"CRECHE MUNICIPAL PROFESSORA MARIA RITA LINS MARTINS")</f>
        <v>CRECHE MUNICIPAL PROFESSORA MARIA RITA LINS MARTINS</v>
      </c>
      <c r="H272" s="90" t="str">
        <f>IFERROR(__xludf.dummyfunction("""COMPUTED_VALUE"""),"REGIONAL 1")</f>
        <v>REGIONAL 1</v>
      </c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ht="15.75" customHeight="1" spans="1:26">
      <c r="A273" s="90" t="str">
        <f>IFERROR(__xludf.dummyfunction("""COMPUTED_VALUE"""),"14/06/2026 18:20:08")</f>
        <v>14/06/2026 18:20:08</v>
      </c>
      <c r="B273" s="90" t="str">
        <f>IFERROR(__xludf.dummyfunction("""COMPUTED_VALUE"""),"5")</f>
        <v>5</v>
      </c>
      <c r="C273" s="90" t="str">
        <f>IFERROR(__xludf.dummyfunction("""COMPUTED_VALUE"""),"Arthur Gabriel de Souza")</f>
        <v>Arthur Gabriel de Souza</v>
      </c>
      <c r="D273" s="90" t="str">
        <f>IFERROR(__xludf.dummyfunction("""COMPUTED_VALUE"""),"31/05/2024")</f>
        <v>31/05/2024</v>
      </c>
      <c r="E273" s="90" t="str">
        <f>IFERROR(__xludf.dummyfunction("""COMPUTED_VALUE"""),"003.243.864-86")</f>
        <v>003.243.864-86</v>
      </c>
      <c r="F273" s="90" t="str">
        <f>IFERROR(__xludf.dummyfunction("""COMPUTED_VALUE"""),"INFANTIL 1")</f>
        <v>INFANTIL 1</v>
      </c>
      <c r="G273" s="90" t="str">
        <f>IFERROR(__xludf.dummyfunction("""COMPUTED_VALUE"""),"CRECHE MUNICIPAL PROFESSORA MARIA RITA LINS MARTINS")</f>
        <v>CRECHE MUNICIPAL PROFESSORA MARIA RITA LINS MARTINS</v>
      </c>
      <c r="H273" s="90" t="str">
        <f>IFERROR(__xludf.dummyfunction("""COMPUTED_VALUE"""),"REGIONAL 1")</f>
        <v>REGIONAL 1</v>
      </c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ht="15.75" customHeight="1" spans="1:26">
      <c r="A274" s="90" t="str">
        <f>IFERROR(__xludf.dummyfunction("""COMPUTED_VALUE"""),"25/06/2026 18:16:16")</f>
        <v>25/06/2026 18:16:16</v>
      </c>
      <c r="B274" s="90" t="str">
        <f>IFERROR(__xludf.dummyfunction("""COMPUTED_VALUE"""),"6")</f>
        <v>6</v>
      </c>
      <c r="C274" s="90" t="str">
        <f>IFERROR(__xludf.dummyfunction("""COMPUTED_VALUE"""),"Jefferson Miguel Rangel santos")</f>
        <v>Jefferson Miguel Rangel santos</v>
      </c>
      <c r="D274" s="90" t="str">
        <f>IFERROR(__xludf.dummyfunction("""COMPUTED_VALUE"""),"14/12/2024")</f>
        <v>14/12/2024</v>
      </c>
      <c r="E274" s="90" t="str">
        <f>IFERROR(__xludf.dummyfunction("""COMPUTED_VALUE"""),"004.984.504-73")</f>
        <v>004.984.504-73</v>
      </c>
      <c r="F274" s="90" t="str">
        <f>IFERROR(__xludf.dummyfunction("""COMPUTED_VALUE"""),"INFANTIL 1")</f>
        <v>INFANTIL 1</v>
      </c>
      <c r="G274" s="90" t="str">
        <f>IFERROR(__xludf.dummyfunction("""COMPUTED_VALUE"""),"CRECHE MUNICIPAL PROFESSORA MARIA RITA LINS MARTINS")</f>
        <v>CRECHE MUNICIPAL PROFESSORA MARIA RITA LINS MARTINS</v>
      </c>
      <c r="H274" s="90" t="str">
        <f>IFERROR(__xludf.dummyfunction("""COMPUTED_VALUE"""),"REGIONAL 1")</f>
        <v>REGIONAL 1</v>
      </c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ht="15.75" customHeight="1" spans="1:26">
      <c r="A275" s="90" t="str">
        <f>IFERROR(__xludf.dummyfunction("""COMPUTED_VALUE"""),"29/06/2026 11:34:07")</f>
        <v>29/06/2026 11:34:07</v>
      </c>
      <c r="B275" s="90" t="str">
        <f>IFERROR(__xludf.dummyfunction("""COMPUTED_VALUE"""),"7")</f>
        <v>7</v>
      </c>
      <c r="C275" s="90" t="str">
        <f>IFERROR(__xludf.dummyfunction("""COMPUTED_VALUE"""),"Henry Santino Cavalcante souza")</f>
        <v>Henry Santino Cavalcante souza</v>
      </c>
      <c r="D275" s="90" t="str">
        <f>IFERROR(__xludf.dummyfunction("""COMPUTED_VALUE"""),"24/09/2025")</f>
        <v>24/09/2025</v>
      </c>
      <c r="E275" s="90" t="str">
        <f>IFERROR(__xludf.dummyfunction("""COMPUTED_VALUE"""),"011.472.264-15")</f>
        <v>011.472.264-15</v>
      </c>
      <c r="F275" s="90" t="str">
        <f>IFERROR(__xludf.dummyfunction("""COMPUTED_VALUE"""),"INFANTIL 1")</f>
        <v>INFANTIL 1</v>
      </c>
      <c r="G275" s="90" t="str">
        <f>IFERROR(__xludf.dummyfunction("""COMPUTED_VALUE"""),"CRECHE MUNICIPAL PROFESSORA MARIA RITA LINS MARTINS")</f>
        <v>CRECHE MUNICIPAL PROFESSORA MARIA RITA LINS MARTINS</v>
      </c>
      <c r="H275" s="90" t="str">
        <f>IFERROR(__xludf.dummyfunction("""COMPUTED_VALUE"""),"REGIONAL 1")</f>
        <v>REGIONAL 1</v>
      </c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ht="15.75" customHeight="1" spans="1:26">
      <c r="A276" s="90" t="str">
        <f>IFERROR(__xludf.dummyfunction("""COMPUTED_VALUE"""),"21/08/2026 12:22:12")</f>
        <v>21/08/2026 12:22:12</v>
      </c>
      <c r="B276" s="90" t="str">
        <f>IFERROR(__xludf.dummyfunction("""COMPUTED_VALUE"""),"8")</f>
        <v>8</v>
      </c>
      <c r="C276" s="90" t="str">
        <f>IFERROR(__xludf.dummyfunction("""COMPUTED_VALUE"""),"Maria Alice França Maciel Costa")</f>
        <v>Maria Alice França Maciel Costa</v>
      </c>
      <c r="D276" s="90" t="str">
        <f>IFERROR(__xludf.dummyfunction("""COMPUTED_VALUE"""),"11/04/2025")</f>
        <v>11/04/2025</v>
      </c>
      <c r="E276" s="90" t="str">
        <f>IFERROR(__xludf.dummyfunction("""COMPUTED_VALUE"""),"007.113.324-01")</f>
        <v>007.113.324-01</v>
      </c>
      <c r="F276" s="90" t="str">
        <f>IFERROR(__xludf.dummyfunction("""COMPUTED_VALUE"""),"INFANTIL 1")</f>
        <v>INFANTIL 1</v>
      </c>
      <c r="G276" s="90" t="str">
        <f>IFERROR(__xludf.dummyfunction("""COMPUTED_VALUE"""),"CRECHE MUNICIPAL PROFESSORA MARIA RITA LINS MARTINS")</f>
        <v>CRECHE MUNICIPAL PROFESSORA MARIA RITA LINS MARTINS</v>
      </c>
      <c r="H276" s="90" t="str">
        <f>IFERROR(__xludf.dummyfunction("""COMPUTED_VALUE"""),"REGIONAL 1")</f>
        <v>REGIONAL 1</v>
      </c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ht="15.75" customHeight="1" spans="1:26">
      <c r="A277" s="90" t="str">
        <f>IFERROR(__xludf.dummyfunction("""COMPUTED_VALUE"""),"31/08/2026 22:56:10")</f>
        <v>31/08/2026 22:56:10</v>
      </c>
      <c r="B277" s="90" t="str">
        <f>IFERROR(__xludf.dummyfunction("""COMPUTED_VALUE"""),"9")</f>
        <v>9</v>
      </c>
      <c r="C277" s="90" t="str">
        <f>IFERROR(__xludf.dummyfunction("""COMPUTED_VALUE"""),"Allan Daher da Silva Tinoco")</f>
        <v>Allan Daher da Silva Tinoco</v>
      </c>
      <c r="D277" s="90" t="str">
        <f>IFERROR(__xludf.dummyfunction("""COMPUTED_VALUE"""),"26/08/2024")</f>
        <v>26/08/2024</v>
      </c>
      <c r="E277" s="90" t="str">
        <f>IFERROR(__xludf.dummyfunction("""COMPUTED_VALUE"""),"003.949.454-33")</f>
        <v>003.949.454-33</v>
      </c>
      <c r="F277" s="90" t="str">
        <f>IFERROR(__xludf.dummyfunction("""COMPUTED_VALUE"""),"INFANTIL 1")</f>
        <v>INFANTIL 1</v>
      </c>
      <c r="G277" s="90" t="str">
        <f>IFERROR(__xludf.dummyfunction("""COMPUTED_VALUE"""),"CRECHE MUNICIPAL PROFESSORA MARIA RITA LINS MARTINS")</f>
        <v>CRECHE MUNICIPAL PROFESSORA MARIA RITA LINS MARTINS</v>
      </c>
      <c r="H277" s="90" t="str">
        <f>IFERROR(__xludf.dummyfunction("""COMPUTED_VALUE"""),"REGIONAL 1")</f>
        <v>REGIONAL 1</v>
      </c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ht="15.75" customHeight="1" spans="1:26">
      <c r="A278" s="90" t="str">
        <f>IFERROR(__xludf.dummyfunction("""COMPUTED_VALUE"""),"30/01/2026 13:46:37")</f>
        <v>30/01/2026 13:46:37</v>
      </c>
      <c r="B278" s="90" t="str">
        <f>IFERROR(__xludf.dummyfunction("""COMPUTED_VALUE"""),"1")</f>
        <v>1</v>
      </c>
      <c r="C278" s="90" t="str">
        <f>IFERROR(__xludf.dummyfunction("""COMPUTED_VALUE"""),"LUCAS MIGUEL DA SILVA PARAÍSO")</f>
        <v>LUCAS MIGUEL DA SILVA PARAÍSO</v>
      </c>
      <c r="D278" s="90" t="str">
        <f>IFERROR(__xludf.dummyfunction("""COMPUTED_VALUE"""),"24/01/2024")</f>
        <v>24/01/2024</v>
      </c>
      <c r="E278" s="90" t="str">
        <f>IFERROR(__xludf.dummyfunction("""COMPUTED_VALUE"""),"001.835.364-95")</f>
        <v>001.835.364-95</v>
      </c>
      <c r="F278" s="90" t="str">
        <f>IFERROR(__xludf.dummyfunction("""COMPUTED_VALUE"""),"INFANTIL 2")</f>
        <v>INFANTIL 2</v>
      </c>
      <c r="G278" s="90" t="str">
        <f>IFERROR(__xludf.dummyfunction("""COMPUTED_VALUE"""),"CRECHE MUNICIPAL PROFESSORA MARIA RITA LINS MARTINS")</f>
        <v>CRECHE MUNICIPAL PROFESSORA MARIA RITA LINS MARTINS</v>
      </c>
      <c r="H278" s="90" t="str">
        <f>IFERROR(__xludf.dummyfunction("""COMPUTED_VALUE"""),"REGIONAL 1")</f>
        <v>REGIONAL 1</v>
      </c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ht="15.75" customHeight="1" spans="1:26">
      <c r="A279" s="90" t="str">
        <f>IFERROR(__xludf.dummyfunction("""COMPUTED_VALUE"""),"08/03/2026 00:13:08")</f>
        <v>08/03/2026 00:13:08</v>
      </c>
      <c r="B279" s="90" t="str">
        <f>IFERROR(__xludf.dummyfunction("""COMPUTED_VALUE"""),"2")</f>
        <v>2</v>
      </c>
      <c r="C279" s="90" t="str">
        <f>IFERROR(__xludf.dummyfunction("""COMPUTED_VALUE"""),"HEITOR GABRIEL SANTANA GOMES DA SILVA")</f>
        <v>HEITOR GABRIEL SANTANA GOMES DA SILVA</v>
      </c>
      <c r="D279" s="90" t="str">
        <f>IFERROR(__xludf.dummyfunction("""COMPUTED_VALUE"""),"19/07/2023")</f>
        <v>19/07/2023</v>
      </c>
      <c r="E279" s="90" t="str">
        <f>IFERROR(__xludf.dummyfunction("""COMPUTED_VALUE"""),"186.023.384-81")</f>
        <v>186.023.384-81</v>
      </c>
      <c r="F279" s="90" t="str">
        <f>IFERROR(__xludf.dummyfunction("""COMPUTED_VALUE"""),"INFANTIL 2")</f>
        <v>INFANTIL 2</v>
      </c>
      <c r="G279" s="90" t="str">
        <f>IFERROR(__xludf.dummyfunction("""COMPUTED_VALUE"""),"CRECHE MUNICIPAL PROFESSORA MARIA RITA LINS MARTINS")</f>
        <v>CRECHE MUNICIPAL PROFESSORA MARIA RITA LINS MARTINS</v>
      </c>
      <c r="H279" s="90" t="str">
        <f>IFERROR(__xludf.dummyfunction("""COMPUTED_VALUE"""),"REGIONAL 1")</f>
        <v>REGIONAL 1</v>
      </c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ht="15.75" customHeight="1" spans="1:26">
      <c r="A280" s="90" t="str">
        <f>IFERROR(__xludf.dummyfunction("""COMPUTED_VALUE"""),"11/03/2026 10:30:16")</f>
        <v>11/03/2026 10:30:16</v>
      </c>
      <c r="B280" s="90" t="str">
        <f>IFERROR(__xludf.dummyfunction("""COMPUTED_VALUE"""),"3")</f>
        <v>3</v>
      </c>
      <c r="C280" s="90" t="str">
        <f>IFERROR(__xludf.dummyfunction("""COMPUTED_VALUE"""),"LORENZO SANTANA PAIXAO")</f>
        <v>LORENZO SANTANA PAIXAO</v>
      </c>
      <c r="D280" s="90" t="str">
        <f>IFERROR(__xludf.dummyfunction("""COMPUTED_VALUE"""),"11/12/2023")</f>
        <v>11/12/2023</v>
      </c>
      <c r="E280" s="90" t="str">
        <f>IFERROR(__xludf.dummyfunction("""COMPUTED_VALUE"""),"001.257.584-48")</f>
        <v>001.257.584-48</v>
      </c>
      <c r="F280" s="90" t="str">
        <f>IFERROR(__xludf.dummyfunction("""COMPUTED_VALUE"""),"INFANTIL 2")</f>
        <v>INFANTIL 2</v>
      </c>
      <c r="G280" s="90" t="str">
        <f>IFERROR(__xludf.dummyfunction("""COMPUTED_VALUE"""),"CRECHE MUNICIPAL PROFESSORA MARIA RITA LINS MARTINS")</f>
        <v>CRECHE MUNICIPAL PROFESSORA MARIA RITA LINS MARTINS</v>
      </c>
      <c r="H280" s="90" t="str">
        <f>IFERROR(__xludf.dummyfunction("""COMPUTED_VALUE"""),"REGIONAL 1")</f>
        <v>REGIONAL 1</v>
      </c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ht="15.75" customHeight="1" spans="1:26">
      <c r="A281" s="90" t="str">
        <f>IFERROR(__xludf.dummyfunction("""COMPUTED_VALUE"""),"17/03/2026 08:58:14")</f>
        <v>17/03/2026 08:58:14</v>
      </c>
      <c r="B281" s="90" t="str">
        <f>IFERROR(__xludf.dummyfunction("""COMPUTED_VALUE"""),"4")</f>
        <v>4</v>
      </c>
      <c r="C281" s="90" t="str">
        <f>IFERROR(__xludf.dummyfunction("""COMPUTED_VALUE"""),"LETÍCIA RIBAS DA LUZ")</f>
        <v>LETÍCIA RIBAS DA LUZ</v>
      </c>
      <c r="D281" s="90" t="str">
        <f>IFERROR(__xludf.dummyfunction("""COMPUTED_VALUE"""),"09/03/2024")</f>
        <v>09/03/2024</v>
      </c>
      <c r="E281" s="90" t="str">
        <f>IFERROR(__xludf.dummyfunction("""COMPUTED_VALUE"""),"001.930.104-96")</f>
        <v>001.930.104-96</v>
      </c>
      <c r="F281" s="90" t="str">
        <f>IFERROR(__xludf.dummyfunction("""COMPUTED_VALUE"""),"INFANTIL 2")</f>
        <v>INFANTIL 2</v>
      </c>
      <c r="G281" s="90" t="str">
        <f>IFERROR(__xludf.dummyfunction("""COMPUTED_VALUE"""),"CRECHE MUNICIPAL PROFESSORA MARIA RITA LINS MARTINS")</f>
        <v>CRECHE MUNICIPAL PROFESSORA MARIA RITA LINS MARTINS</v>
      </c>
      <c r="H281" s="90" t="str">
        <f>IFERROR(__xludf.dummyfunction("""COMPUTED_VALUE"""),"REGIONAL 1")</f>
        <v>REGIONAL 1</v>
      </c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ht="15.75" customHeight="1" spans="1:26">
      <c r="A282" s="90" t="str">
        <f>IFERROR(__xludf.dummyfunction("""COMPUTED_VALUE"""),"16/04/2026 17:20:01")</f>
        <v>16/04/2026 17:20:01</v>
      </c>
      <c r="B282" s="90" t="str">
        <f>IFERROR(__xludf.dummyfunction("""COMPUTED_VALUE"""),"5")</f>
        <v>5</v>
      </c>
      <c r="C282" s="90" t="str">
        <f>IFERROR(__xludf.dummyfunction("""COMPUTED_VALUE"""),"MARIA CLARA DOS SANTOS CHAVES MARTINS")</f>
        <v>MARIA CLARA DOS SANTOS CHAVES MARTINS</v>
      </c>
      <c r="D282" s="90" t="str">
        <f>IFERROR(__xludf.dummyfunction("""COMPUTED_VALUE"""),"17/04/2023")</f>
        <v>17/04/2023</v>
      </c>
      <c r="E282" s="90" t="str">
        <f>IFERROR(__xludf.dummyfunction("""COMPUTED_VALUE"""),"185.113.384-46")</f>
        <v>185.113.384-46</v>
      </c>
      <c r="F282" s="90" t="str">
        <f>IFERROR(__xludf.dummyfunction("""COMPUTED_VALUE"""),"INFANTIL 2")</f>
        <v>INFANTIL 2</v>
      </c>
      <c r="G282" s="90" t="str">
        <f>IFERROR(__xludf.dummyfunction("""COMPUTED_VALUE"""),"CRECHE MUNICIPAL PROFESSORA MARIA RITA LINS MARTINS")</f>
        <v>CRECHE MUNICIPAL PROFESSORA MARIA RITA LINS MARTINS</v>
      </c>
      <c r="H282" s="90" t="str">
        <f>IFERROR(__xludf.dummyfunction("""COMPUTED_VALUE"""),"REGIONAL 1")</f>
        <v>REGIONAL 1</v>
      </c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ht="15.75" customHeight="1" spans="1:26">
      <c r="A283" s="90" t="str">
        <f>IFERROR(__xludf.dummyfunction("""COMPUTED_VALUE"""),"13/05/2026 08:10:15")</f>
        <v>13/05/2026 08:10:15</v>
      </c>
      <c r="B283" s="90" t="str">
        <f>IFERROR(__xludf.dummyfunction("""COMPUTED_VALUE"""),"6")</f>
        <v>6</v>
      </c>
      <c r="C283" s="90" t="str">
        <f>IFERROR(__xludf.dummyfunction("""COMPUTED_VALUE"""),"THAYLLA MELISSA OLIVEIRA DOS SANTOS")</f>
        <v>THAYLLA MELISSA OLIVEIRA DOS SANTOS</v>
      </c>
      <c r="D283" s="90" t="str">
        <f>IFERROR(__xludf.dummyfunction("""COMPUTED_VALUE"""),"16/08/2023")</f>
        <v>16/08/2023</v>
      </c>
      <c r="E283" s="90" t="str">
        <f>IFERROR(__xludf.dummyfunction("""COMPUTED_VALUE"""),"186.284.484-46")</f>
        <v>186.284.484-46</v>
      </c>
      <c r="F283" s="90" t="str">
        <f>IFERROR(__xludf.dummyfunction("""COMPUTED_VALUE"""),"INFANTIL 2")</f>
        <v>INFANTIL 2</v>
      </c>
      <c r="G283" s="90" t="str">
        <f>IFERROR(__xludf.dummyfunction("""COMPUTED_VALUE"""),"CRECHE MUNICIPAL PROFESSORA MARIA RITA LINS MARTINS")</f>
        <v>CRECHE MUNICIPAL PROFESSORA MARIA RITA LINS MARTINS</v>
      </c>
      <c r="H283" s="90" t="str">
        <f>IFERROR(__xludf.dummyfunction("""COMPUTED_VALUE"""),"REGIONAL 1")</f>
        <v>REGIONAL 1</v>
      </c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ht="15.75" customHeight="1" spans="1:26">
      <c r="A284" s="90" t="str">
        <f>IFERROR(__xludf.dummyfunction("""COMPUTED_VALUE"""),"16/04/2026 17:16:18")</f>
        <v>16/04/2026 17:16:18</v>
      </c>
      <c r="B284" s="90" t="str">
        <f>IFERROR(__xludf.dummyfunction("""COMPUTED_VALUE"""),"1")</f>
        <v>1</v>
      </c>
      <c r="C284" s="90" t="str">
        <f>IFERROR(__xludf.dummyfunction("""COMPUTED_VALUE"""),"MARCELO GUILHERME DOS SANTOS CHAVES MARTINS")</f>
        <v>MARCELO GUILHERME DOS SANTOS CHAVES MARTINS</v>
      </c>
      <c r="D284" s="90" t="str">
        <f>IFERROR(__xludf.dummyfunction("""COMPUTED_VALUE"""),"11/04/2022")</f>
        <v>11/04/2022</v>
      </c>
      <c r="E284" s="90" t="str">
        <f>IFERROR(__xludf.dummyfunction("""COMPUTED_VALUE"""),"181.266.334-09")</f>
        <v>181.266.334-09</v>
      </c>
      <c r="F284" s="90" t="str">
        <f>IFERROR(__xludf.dummyfunction("""COMPUTED_VALUE"""),"INFANTIL 3")</f>
        <v>INFANTIL 3</v>
      </c>
      <c r="G284" s="90" t="str">
        <f>IFERROR(__xludf.dummyfunction("""COMPUTED_VALUE"""),"CRECHE MUNICIPAL PROFESSORA MARIA RITA LINS MARTINS")</f>
        <v>CRECHE MUNICIPAL PROFESSORA MARIA RITA LINS MARTINS</v>
      </c>
      <c r="H284" s="90" t="str">
        <f>IFERROR(__xludf.dummyfunction("""COMPUTED_VALUE"""),"REGIONAL 1")</f>
        <v>REGIONAL 1</v>
      </c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ht="15.75" customHeight="1" spans="1:26">
      <c r="A285" s="90" t="str">
        <f>IFERROR(__xludf.dummyfunction("""COMPUTED_VALUE"""),"10/05/2026 13:58:19")</f>
        <v>10/05/2026 13:58:19</v>
      </c>
      <c r="B285" s="90" t="str">
        <f>IFERROR(__xludf.dummyfunction("""COMPUTED_VALUE"""),"2")</f>
        <v>2</v>
      </c>
      <c r="C285" s="90" t="str">
        <f>IFERROR(__xludf.dummyfunction("""COMPUTED_VALUE"""),"DAVI EMANOEL DE MELO")</f>
        <v>DAVI EMANOEL DE MELO</v>
      </c>
      <c r="D285" s="90" t="str">
        <f>IFERROR(__xludf.dummyfunction("""COMPUTED_VALUE"""),"07/01/2023")</f>
        <v>07/01/2023</v>
      </c>
      <c r="E285" s="90" t="str">
        <f>IFERROR(__xludf.dummyfunction("""COMPUTED_VALUE"""),"184.254.274-52")</f>
        <v>184.254.274-52</v>
      </c>
      <c r="F285" s="90" t="str">
        <f>IFERROR(__xludf.dummyfunction("""COMPUTED_VALUE"""),"INFANTIL 3")</f>
        <v>INFANTIL 3</v>
      </c>
      <c r="G285" s="90" t="str">
        <f>IFERROR(__xludf.dummyfunction("""COMPUTED_VALUE"""),"CRECHE MUNICIPAL PROFESSORA MARIA RITA LINS MARTINS")</f>
        <v>CRECHE MUNICIPAL PROFESSORA MARIA RITA LINS MARTINS</v>
      </c>
      <c r="H285" s="90" t="str">
        <f>IFERROR(__xludf.dummyfunction("""COMPUTED_VALUE"""),"REGIONAL 1")</f>
        <v>REGIONAL 1</v>
      </c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ht="15.75" customHeight="1" spans="1:26">
      <c r="A286" s="90" t="str">
        <f>IFERROR(__xludf.dummyfunction("""COMPUTED_VALUE"""),"15/06/2026 14:59:35")</f>
        <v>15/06/2026 14:59:35</v>
      </c>
      <c r="B286" s="90" t="str">
        <f>IFERROR(__xludf.dummyfunction("""COMPUTED_VALUE"""),"3")</f>
        <v>3</v>
      </c>
      <c r="C286" s="90" t="str">
        <f>IFERROR(__xludf.dummyfunction("""COMPUTED_VALUE"""),"YARA LORENA SILVA DO CARMO")</f>
        <v>YARA LORENA SILVA DO CARMO</v>
      </c>
      <c r="D286" s="90" t="str">
        <f>IFERROR(__xludf.dummyfunction("""COMPUTED_VALUE"""),"05/06/2022")</f>
        <v>05/06/2022</v>
      </c>
      <c r="E286" s="90" t="str">
        <f>IFERROR(__xludf.dummyfunction("""COMPUTED_VALUE"""),"182.418.874-93")</f>
        <v>182.418.874-93</v>
      </c>
      <c r="F286" s="90" t="str">
        <f>IFERROR(__xludf.dummyfunction("""COMPUTED_VALUE"""),"INFANTIL 3")</f>
        <v>INFANTIL 3</v>
      </c>
      <c r="G286" s="90" t="str">
        <f>IFERROR(__xludf.dummyfunction("""COMPUTED_VALUE"""),"CRECHE MUNICIPAL PROFESSORA MARIA RITA LINS MARTINS")</f>
        <v>CRECHE MUNICIPAL PROFESSORA MARIA RITA LINS MARTINS</v>
      </c>
      <c r="H286" s="90" t="str">
        <f>IFERROR(__xludf.dummyfunction("""COMPUTED_VALUE"""),"REGIONAL 1")</f>
        <v>REGIONAL 1</v>
      </c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ht="15.75" customHeight="1" spans="1:26">
      <c r="A287" s="90" t="str">
        <f>IFERROR(__xludf.dummyfunction("""COMPUTED_VALUE"""),"05/02/2026 23:06:26")</f>
        <v>05/02/2026 23:06:26</v>
      </c>
      <c r="B287" s="90" t="str">
        <f>IFERROR(__xludf.dummyfunction("""COMPUTED_VALUE"""),"1")</f>
        <v>1</v>
      </c>
      <c r="C287" s="90" t="str">
        <f>IFERROR(__xludf.dummyfunction("""COMPUTED_VALUE"""),"LIAN SAMUEL SANTOS")</f>
        <v>LIAN SAMUEL SANTOS</v>
      </c>
      <c r="D287" s="90" t="str">
        <f>IFERROR(__xludf.dummyfunction("""COMPUTED_VALUE"""),"27/04/2025")</f>
        <v>27/04/2025</v>
      </c>
      <c r="E287" s="90" t="str">
        <f>IFERROR(__xludf.dummyfunction("""COMPUTED_VALUE"""),"017.661.634-91")</f>
        <v>017.661.634-91</v>
      </c>
      <c r="F287" s="90" t="str">
        <f>IFERROR(__xludf.dummyfunction("""COMPUTED_VALUE"""),"INFANTIL 1")</f>
        <v>INFANTIL 1</v>
      </c>
      <c r="G287" s="90" t="str">
        <f>IFERROR(__xludf.dummyfunction("""COMPUTED_VALUE"""),"CRECHE MUNICIPAL PROFESSORA SILVIA CRISTINA SANTOS BOTELHO")</f>
        <v>CRECHE MUNICIPAL PROFESSORA SILVIA CRISTINA SANTOS BOTELHO</v>
      </c>
      <c r="H287" s="90" t="str">
        <f>IFERROR(__xludf.dummyfunction("""COMPUTED_VALUE"""),"REGIONAL 7")</f>
        <v>REGIONAL 7</v>
      </c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ht="15.75" customHeight="1" spans="1:26">
      <c r="A288" s="90" t="str">
        <f>IFERROR(__xludf.dummyfunction("""COMPUTED_VALUE"""),"27/03/2026 15:45:11")</f>
        <v>27/03/2026 15:45:11</v>
      </c>
      <c r="B288" s="90" t="str">
        <f>IFERROR(__xludf.dummyfunction("""COMPUTED_VALUE"""),"2")</f>
        <v>2</v>
      </c>
      <c r="C288" s="90" t="str">
        <f>IFERROR(__xludf.dummyfunction("""COMPUTED_VALUE"""),"ASAFE MIQUÉIAS DOS SANTOS VIEIRA")</f>
        <v>ASAFE MIQUÉIAS DOS SANTOS VIEIRA</v>
      </c>
      <c r="D288" s="90" t="str">
        <f>IFERROR(__xludf.dummyfunction("""COMPUTED_VALUE"""),"12/10/2024")</f>
        <v>12/10/2024</v>
      </c>
      <c r="E288" s="90" t="str">
        <f>IFERROR(__xludf.dummyfunction("""COMPUTED_VALUE"""),"004.348.364-00")</f>
        <v>004.348.364-00</v>
      </c>
      <c r="F288" s="90" t="str">
        <f>IFERROR(__xludf.dummyfunction("""COMPUTED_VALUE"""),"INFANTIL 1")</f>
        <v>INFANTIL 1</v>
      </c>
      <c r="G288" s="90" t="str">
        <f>IFERROR(__xludf.dummyfunction("""COMPUTED_VALUE"""),"CRECHE MUNICIPAL PROFESSORA SILVIA CRISTINA SANTOS BOTELHO")</f>
        <v>CRECHE MUNICIPAL PROFESSORA SILVIA CRISTINA SANTOS BOTELHO</v>
      </c>
      <c r="H288" s="90" t="str">
        <f>IFERROR(__xludf.dummyfunction("""COMPUTED_VALUE"""),"REGIONAL 7")</f>
        <v>REGIONAL 7</v>
      </c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ht="15.75" customHeight="1" spans="1:26">
      <c r="A289" s="90" t="str">
        <f>IFERROR(__xludf.dummyfunction("""COMPUTED_VALUE"""),"15/04/2026 22:22:20")</f>
        <v>15/04/2026 22:22:20</v>
      </c>
      <c r="B289" s="90" t="str">
        <f>IFERROR(__xludf.dummyfunction("""COMPUTED_VALUE"""),"3")</f>
        <v>3</v>
      </c>
      <c r="C289" s="90" t="str">
        <f>IFERROR(__xludf.dummyfunction("""COMPUTED_VALUE"""),"ISAAC ELVIS DA SILVA")</f>
        <v>ISAAC ELVIS DA SILVA</v>
      </c>
      <c r="D289" s="90" t="str">
        <f>IFERROR(__xludf.dummyfunction("""COMPUTED_VALUE"""),"19/11/2024")</f>
        <v>19/11/2024</v>
      </c>
      <c r="E289" s="90" t="str">
        <f>IFERROR(__xludf.dummyfunction("""COMPUTED_VALUE"""),"004.669.314-92")</f>
        <v>004.669.314-92</v>
      </c>
      <c r="F289" s="90" t="str">
        <f>IFERROR(__xludf.dummyfunction("""COMPUTED_VALUE"""),"INFANTIL 1")</f>
        <v>INFANTIL 1</v>
      </c>
      <c r="G289" s="90" t="str">
        <f>IFERROR(__xludf.dummyfunction("""COMPUTED_VALUE"""),"CRECHE MUNICIPAL PROFESSORA SILVIA CRISTINA SANTOS BOTELHO")</f>
        <v>CRECHE MUNICIPAL PROFESSORA SILVIA CRISTINA SANTOS BOTELHO</v>
      </c>
      <c r="H289" s="90" t="str">
        <f>IFERROR(__xludf.dummyfunction("""COMPUTED_VALUE"""),"REGIONAL 7")</f>
        <v>REGIONAL 7</v>
      </c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ht="15.75" customHeight="1" spans="1:26">
      <c r="A290" s="90" t="str">
        <f>IFERROR(__xludf.dummyfunction("""COMPUTED_VALUE"""),"05/05/2026 10:48:19")</f>
        <v>05/05/2026 10:48:19</v>
      </c>
      <c r="B290" s="90" t="str">
        <f>IFERROR(__xludf.dummyfunction("""COMPUTED_VALUE"""),"4")</f>
        <v>4</v>
      </c>
      <c r="C290" s="90" t="str">
        <f>IFERROR(__xludf.dummyfunction("""COMPUTED_VALUE"""),"DAVI NOGUEIRA")</f>
        <v>DAVI NOGUEIRA</v>
      </c>
      <c r="D290" s="90" t="str">
        <f>IFERROR(__xludf.dummyfunction("""COMPUTED_VALUE"""),"19/06/2024")</f>
        <v>19/06/2024</v>
      </c>
      <c r="E290" s="90" t="str">
        <f>IFERROR(__xludf.dummyfunction("""COMPUTED_VALUE"""),"003.540.674-78")</f>
        <v>003.540.674-78</v>
      </c>
      <c r="F290" s="90" t="str">
        <f>IFERROR(__xludf.dummyfunction("""COMPUTED_VALUE"""),"INFANTIL 1")</f>
        <v>INFANTIL 1</v>
      </c>
      <c r="G290" s="90" t="str">
        <f>IFERROR(__xludf.dummyfunction("""COMPUTED_VALUE"""),"CRECHE MUNICIPAL PROFESSORA SILVIA CRISTINA SANTOS BOTELHO")</f>
        <v>CRECHE MUNICIPAL PROFESSORA SILVIA CRISTINA SANTOS BOTELHO</v>
      </c>
      <c r="H290" s="90" t="str">
        <f>IFERROR(__xludf.dummyfunction("""COMPUTED_VALUE"""),"REGIONAL 7")</f>
        <v>REGIONAL 7</v>
      </c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ht="15.75" customHeight="1" spans="1:26">
      <c r="A291" s="90" t="str">
        <f>IFERROR(__xludf.dummyfunction("""COMPUTED_VALUE"""),"25/05/2026 19:36:10")</f>
        <v>25/05/2026 19:36:10</v>
      </c>
      <c r="B291" s="90" t="str">
        <f>IFERROR(__xludf.dummyfunction("""COMPUTED_VALUE"""),"5")</f>
        <v>5</v>
      </c>
      <c r="C291" s="90" t="str">
        <f>IFERROR(__xludf.dummyfunction("""COMPUTED_VALUE"""),"Ayla Sophia santos da silva")</f>
        <v>Ayla Sophia santos da silva</v>
      </c>
      <c r="D291" s="90" t="str">
        <f>IFERROR(__xludf.dummyfunction("""COMPUTED_VALUE"""),"05/01/2025")</f>
        <v>05/01/2025</v>
      </c>
      <c r="E291" s="90" t="str">
        <f>IFERROR(__xludf.dummyfunction("""COMPUTED_VALUE"""),"005.022.224-41")</f>
        <v>005.022.224-41</v>
      </c>
      <c r="F291" s="90" t="str">
        <f>IFERROR(__xludf.dummyfunction("""COMPUTED_VALUE"""),"INFANTIL 1")</f>
        <v>INFANTIL 1</v>
      </c>
      <c r="G291" s="90" t="str">
        <f>IFERROR(__xludf.dummyfunction("""COMPUTED_VALUE"""),"CRECHE MUNICIPAL PROFESSORA SILVIA CRISTINA SANTOS BOTELHO")</f>
        <v>CRECHE MUNICIPAL PROFESSORA SILVIA CRISTINA SANTOS BOTELHO</v>
      </c>
      <c r="H291" s="90" t="str">
        <f>IFERROR(__xludf.dummyfunction("""COMPUTED_VALUE"""),"REGIONAL 7")</f>
        <v>REGIONAL 7</v>
      </c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ht="15.75" customHeight="1" spans="1:26">
      <c r="A292" s="90" t="str">
        <f>IFERROR(__xludf.dummyfunction("""COMPUTED_VALUE"""),"23/06/2026 14:42:25")</f>
        <v>23/06/2026 14:42:25</v>
      </c>
      <c r="B292" s="90" t="str">
        <f>IFERROR(__xludf.dummyfunction("""COMPUTED_VALUE"""),"6")</f>
        <v>6</v>
      </c>
      <c r="C292" s="90" t="str">
        <f>IFERROR(__xludf.dummyfunction("""COMPUTED_VALUE"""),"Luíza vitória Sousa de Oliveira Luz")</f>
        <v>Luíza vitória Sousa de Oliveira Luz</v>
      </c>
      <c r="D292" s="90" t="str">
        <f>IFERROR(__xludf.dummyfunction("""COMPUTED_VALUE"""),"27/12/2024")</f>
        <v>27/12/2024</v>
      </c>
      <c r="E292" s="90" t="str">
        <f>IFERROR(__xludf.dummyfunction("""COMPUTED_VALUE"""),"004.990.694-12")</f>
        <v>004.990.694-12</v>
      </c>
      <c r="F292" s="90" t="str">
        <f>IFERROR(__xludf.dummyfunction("""COMPUTED_VALUE"""),"INFANTIL 1")</f>
        <v>INFANTIL 1</v>
      </c>
      <c r="G292" s="90" t="str">
        <f>IFERROR(__xludf.dummyfunction("""COMPUTED_VALUE"""),"CRECHE MUNICIPAL PROFESSORA SILVIA CRISTINA SANTOS BOTELHO")</f>
        <v>CRECHE MUNICIPAL PROFESSORA SILVIA CRISTINA SANTOS BOTELHO</v>
      </c>
      <c r="H292" s="90" t="str">
        <f>IFERROR(__xludf.dummyfunction("""COMPUTED_VALUE"""),"REGIONAL 7")</f>
        <v>REGIONAL 7</v>
      </c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ht="15.75" customHeight="1" spans="1:26">
      <c r="A293" s="90" t="str">
        <f>IFERROR(__xludf.dummyfunction("""COMPUTED_VALUE"""),"27/06/2026 22:58:33")</f>
        <v>27/06/2026 22:58:33</v>
      </c>
      <c r="B293" s="90" t="str">
        <f>IFERROR(__xludf.dummyfunction("""COMPUTED_VALUE"""),"7")</f>
        <v>7</v>
      </c>
      <c r="C293" s="90" t="str">
        <f>IFERROR(__xludf.dummyfunction("""COMPUTED_VALUE"""),"Endrew Gabriel Araújo Guedes")</f>
        <v>Endrew Gabriel Araújo Guedes</v>
      </c>
      <c r="D293" s="90" t="str">
        <f>IFERROR(__xludf.dummyfunction("""COMPUTED_VALUE"""),"19/06/2024")</f>
        <v>19/06/2024</v>
      </c>
      <c r="E293" s="90" t="str">
        <f>IFERROR(__xludf.dummyfunction("""COMPUTED_VALUE"""),"003.461.974-73")</f>
        <v>003.461.974-73</v>
      </c>
      <c r="F293" s="90" t="str">
        <f>IFERROR(__xludf.dummyfunction("""COMPUTED_VALUE"""),"INFANTIL 1")</f>
        <v>INFANTIL 1</v>
      </c>
      <c r="G293" s="90" t="str">
        <f>IFERROR(__xludf.dummyfunction("""COMPUTED_VALUE"""),"CRECHE MUNICIPAL PROFESSORA SILVIA CRISTINA SANTOS BOTELHO")</f>
        <v>CRECHE MUNICIPAL PROFESSORA SILVIA CRISTINA SANTOS BOTELHO</v>
      </c>
      <c r="H293" s="90" t="str">
        <f>IFERROR(__xludf.dummyfunction("""COMPUTED_VALUE"""),"REGIONAL 7")</f>
        <v>REGIONAL 7</v>
      </c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ht="15.75" customHeight="1" spans="1:26">
      <c r="A294" s="90" t="str">
        <f>IFERROR(__xludf.dummyfunction("""COMPUTED_VALUE"""),"23/09/2026 13:18:48")</f>
        <v>23/09/2026 13:18:48</v>
      </c>
      <c r="B294" s="90" t="str">
        <f>IFERROR(__xludf.dummyfunction("""COMPUTED_VALUE"""),"8")</f>
        <v>8</v>
      </c>
      <c r="C294" s="90" t="str">
        <f>IFERROR(__xludf.dummyfunction("""COMPUTED_VALUE"""),"Noah Matteo Albuquerque da Silva")</f>
        <v>Noah Matteo Albuquerque da Silva</v>
      </c>
      <c r="D294" s="90" t="str">
        <f>IFERROR(__xludf.dummyfunction("""COMPUTED_VALUE"""),"16/02/2025")</f>
        <v>16/02/2025</v>
      </c>
      <c r="E294" s="90" t="str">
        <f>IFERROR(__xludf.dummyfunction("""COMPUTED_VALUE"""),"005.758.904-60")</f>
        <v>005.758.904-60</v>
      </c>
      <c r="F294" s="90" t="str">
        <f>IFERROR(__xludf.dummyfunction("""COMPUTED_VALUE"""),"INFANTIL 1")</f>
        <v>INFANTIL 1</v>
      </c>
      <c r="G294" s="90" t="str">
        <f>IFERROR(__xludf.dummyfunction("""COMPUTED_VALUE"""),"CRECHE MUNICIPAL PROFESSORA SILVIA CRISTINA SANTOS BOTELHO")</f>
        <v>CRECHE MUNICIPAL PROFESSORA SILVIA CRISTINA SANTOS BOTELHO</v>
      </c>
      <c r="H294" s="90" t="str">
        <f>IFERROR(__xludf.dummyfunction("""COMPUTED_VALUE"""),"REGIONAL 7")</f>
        <v>REGIONAL 7</v>
      </c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ht="15.75" customHeight="1" spans="1:26">
      <c r="A295" s="90" t="str">
        <f>IFERROR(__xludf.dummyfunction("""COMPUTED_VALUE"""),"26/02/2026 09:33:21")</f>
        <v>26/02/2026 09:33:21</v>
      </c>
      <c r="B295" s="90" t="str">
        <f>IFERROR(__xludf.dummyfunction("""COMPUTED_VALUE"""),"1")</f>
        <v>1</v>
      </c>
      <c r="C295" s="90" t="str">
        <f>IFERROR(__xludf.dummyfunction("""COMPUTED_VALUE"""),"MELANIE LORENA SOARES DA SILVA")</f>
        <v>MELANIE LORENA SOARES DA SILVA</v>
      </c>
      <c r="D295" s="90" t="str">
        <f>IFERROR(__xludf.dummyfunction("""COMPUTED_VALUE"""),"20/07/2024")</f>
        <v>20/07/2024</v>
      </c>
      <c r="E295" s="90" t="str">
        <f>IFERROR(__xludf.dummyfunction("""COMPUTED_VALUE"""),"003.731.354-16")</f>
        <v>003.731.354-16</v>
      </c>
      <c r="F295" s="90" t="str">
        <f>IFERROR(__xludf.dummyfunction("""COMPUTED_VALUE"""),"INFANTIL 1")</f>
        <v>INFANTIL 1</v>
      </c>
      <c r="G295" s="90" t="str">
        <f>IFERROR(__xludf.dummyfunction("""COMPUTED_VALUE"""),"CRECHE PROFESSORA LEDA MARIA QUEIROZ DO REGO BARROS")</f>
        <v>CRECHE PROFESSORA LEDA MARIA QUEIROZ DO REGO BARROS</v>
      </c>
      <c r="H295" s="90" t="str">
        <f>IFERROR(__xludf.dummyfunction("""COMPUTED_VALUE"""),"REGIONAL 2")</f>
        <v>REGIONAL 2</v>
      </c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ht="15.75" customHeight="1" spans="1:26">
      <c r="A296" s="90" t="str">
        <f>IFERROR(__xludf.dummyfunction("""COMPUTED_VALUE"""),"05/04/2026 16:11:06")</f>
        <v>05/04/2026 16:11:06</v>
      </c>
      <c r="B296" s="90" t="str">
        <f>IFERROR(__xludf.dummyfunction("""COMPUTED_VALUE"""),"2")</f>
        <v>2</v>
      </c>
      <c r="C296" s="90" t="str">
        <f>IFERROR(__xludf.dummyfunction("""COMPUTED_VALUE"""),"THÉO NICOLAS FERREIRA GERMANO")</f>
        <v>THÉO NICOLAS FERREIRA GERMANO</v>
      </c>
      <c r="D296" s="90" t="str">
        <f>IFERROR(__xludf.dummyfunction("""COMPUTED_VALUE"""),"27/09/2024")</f>
        <v>27/09/2024</v>
      </c>
      <c r="E296" s="90" t="str">
        <f>IFERROR(__xludf.dummyfunction("""COMPUTED_VALUE"""),"004.175.444-13")</f>
        <v>004.175.444-13</v>
      </c>
      <c r="F296" s="90" t="str">
        <f>IFERROR(__xludf.dummyfunction("""COMPUTED_VALUE"""),"INFANTIL 1")</f>
        <v>INFANTIL 1</v>
      </c>
      <c r="G296" s="90" t="str">
        <f>IFERROR(__xludf.dummyfunction("""COMPUTED_VALUE"""),"CRECHE PROFESSORA LEDA MARIA QUEIROZ DO REGO BARROS")</f>
        <v>CRECHE PROFESSORA LEDA MARIA QUEIROZ DO REGO BARROS</v>
      </c>
      <c r="H296" s="90" t="str">
        <f>IFERROR(__xludf.dummyfunction("""COMPUTED_VALUE"""),"REGIONAL 2")</f>
        <v>REGIONAL 2</v>
      </c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ht="15.75" customHeight="1" spans="1:26">
      <c r="A297" s="90" t="str">
        <f>IFERROR(__xludf.dummyfunction("""COMPUTED_VALUE"""),"25/05/2026 11:20:13")</f>
        <v>25/05/2026 11:20:13</v>
      </c>
      <c r="B297" s="90" t="str">
        <f>IFERROR(__xludf.dummyfunction("""COMPUTED_VALUE"""),"3")</f>
        <v>3</v>
      </c>
      <c r="C297" s="90" t="str">
        <f>IFERROR(__xludf.dummyfunction("""COMPUTED_VALUE"""),"Maria Clara Martins Da Silva")</f>
        <v>Maria Clara Martins Da Silva</v>
      </c>
      <c r="D297" s="90" t="str">
        <f>IFERROR(__xludf.dummyfunction("""COMPUTED_VALUE"""),"22/04/2024")</f>
        <v>22/04/2024</v>
      </c>
      <c r="E297" s="90" t="str">
        <f>IFERROR(__xludf.dummyfunction("""COMPUTED_VALUE"""),"003.270.114-40")</f>
        <v>003.270.114-40</v>
      </c>
      <c r="F297" s="90" t="str">
        <f>IFERROR(__xludf.dummyfunction("""COMPUTED_VALUE"""),"INFANTIL 1")</f>
        <v>INFANTIL 1</v>
      </c>
      <c r="G297" s="90" t="str">
        <f>IFERROR(__xludf.dummyfunction("""COMPUTED_VALUE"""),"CRECHE PROFESSORA LEDA MARIA QUEIROZ DO REGO BARROS")</f>
        <v>CRECHE PROFESSORA LEDA MARIA QUEIROZ DO REGO BARROS</v>
      </c>
      <c r="H297" s="90" t="str">
        <f>IFERROR(__xludf.dummyfunction("""COMPUTED_VALUE"""),"REGIONAL 2")</f>
        <v>REGIONAL 2</v>
      </c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ht="15.75" customHeight="1" spans="1:26">
      <c r="A298" s="90" t="str">
        <f>IFERROR(__xludf.dummyfunction("""COMPUTED_VALUE"""),"01/06/2026 12:02:51")</f>
        <v>01/06/2026 12:02:51</v>
      </c>
      <c r="B298" s="90" t="str">
        <f>IFERROR(__xludf.dummyfunction("""COMPUTED_VALUE"""),"4")</f>
        <v>4</v>
      </c>
      <c r="C298" s="90" t="str">
        <f>IFERROR(__xludf.dummyfunction("""COMPUTED_VALUE"""),"Rannah Valentina Vieira Muniz da Silva")</f>
        <v>Rannah Valentina Vieira Muniz da Silva</v>
      </c>
      <c r="D298" s="90" t="str">
        <f>IFERROR(__xludf.dummyfunction("""COMPUTED_VALUE"""),"18/03/2025")</f>
        <v>18/03/2025</v>
      </c>
      <c r="E298" s="90" t="str">
        <f>IFERROR(__xludf.dummyfunction("""COMPUTED_VALUE"""),"005.668.444-43")</f>
        <v>005.668.444-43</v>
      </c>
      <c r="F298" s="90" t="str">
        <f>IFERROR(__xludf.dummyfunction("""COMPUTED_VALUE"""),"INFANTIL 1")</f>
        <v>INFANTIL 1</v>
      </c>
      <c r="G298" s="90" t="str">
        <f>IFERROR(__xludf.dummyfunction("""COMPUTED_VALUE"""),"CRECHE PROFESSORA LEDA MARIA QUEIROZ DO REGO BARROS")</f>
        <v>CRECHE PROFESSORA LEDA MARIA QUEIROZ DO REGO BARROS</v>
      </c>
      <c r="H298" s="90" t="str">
        <f>IFERROR(__xludf.dummyfunction("""COMPUTED_VALUE"""),"REGIONAL 2")</f>
        <v>REGIONAL 2</v>
      </c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ht="15.75" customHeight="1" spans="1:26">
      <c r="A299" s="90" t="str">
        <f>IFERROR(__xludf.dummyfunction("""COMPUTED_VALUE"""),"01/07/2026 10:11:32")</f>
        <v>01/07/2026 10:11:32</v>
      </c>
      <c r="B299" s="90" t="str">
        <f>IFERROR(__xludf.dummyfunction("""COMPUTED_VALUE"""),"5")</f>
        <v>5</v>
      </c>
      <c r="C299" s="90" t="str">
        <f>IFERROR(__xludf.dummyfunction("""COMPUTED_VALUE"""),"Maria Antônia Alves Santana")</f>
        <v>Maria Antônia Alves Santana</v>
      </c>
      <c r="D299" s="90" t="str">
        <f>IFERROR(__xludf.dummyfunction("""COMPUTED_VALUE"""),"06/01/2026")</f>
        <v>06/01/2026</v>
      </c>
      <c r="E299" s="90" t="str">
        <f>IFERROR(__xludf.dummyfunction("""COMPUTED_VALUE"""),"046.418.684-68")</f>
        <v>046.418.684-68</v>
      </c>
      <c r="F299" s="90" t="str">
        <f>IFERROR(__xludf.dummyfunction("""COMPUTED_VALUE"""),"INFANTIL 1")</f>
        <v>INFANTIL 1</v>
      </c>
      <c r="G299" s="90" t="str">
        <f>IFERROR(__xludf.dummyfunction("""COMPUTED_VALUE"""),"CRECHE PROFESSORA LEDA MARIA QUEIROZ DO REGO BARROS")</f>
        <v>CRECHE PROFESSORA LEDA MARIA QUEIROZ DO REGO BARROS</v>
      </c>
      <c r="H299" s="90" t="str">
        <f>IFERROR(__xludf.dummyfunction("""COMPUTED_VALUE"""),"REGIONAL 2")</f>
        <v>REGIONAL 2</v>
      </c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ht="15.75" customHeight="1" spans="1:26">
      <c r="A300" s="90" t="str">
        <f>IFERROR(__xludf.dummyfunction("""COMPUTED_VALUE"""),"02/07/2026 10:44:55")</f>
        <v>02/07/2026 10:44:55</v>
      </c>
      <c r="B300" s="90" t="str">
        <f>IFERROR(__xludf.dummyfunction("""COMPUTED_VALUE"""),"6")</f>
        <v>6</v>
      </c>
      <c r="C300" s="90" t="str">
        <f>IFERROR(__xludf.dummyfunction("""COMPUTED_VALUE"""),"Sarah cellynne vitória da Silva lins")</f>
        <v>Sarah cellynne vitória da Silva lins</v>
      </c>
      <c r="D300" s="90" t="str">
        <f>IFERROR(__xludf.dummyfunction("""COMPUTED_VALUE"""),"20/09/2024")</f>
        <v>20/09/2024</v>
      </c>
      <c r="E300" s="90" t="str">
        <f>IFERROR(__xludf.dummyfunction("""COMPUTED_VALUE"""),"004.535.784-62")</f>
        <v>004.535.784-62</v>
      </c>
      <c r="F300" s="90" t="str">
        <f>IFERROR(__xludf.dummyfunction("""COMPUTED_VALUE"""),"INFANTIL 1")</f>
        <v>INFANTIL 1</v>
      </c>
      <c r="G300" s="90" t="str">
        <f>IFERROR(__xludf.dummyfunction("""COMPUTED_VALUE"""),"CRECHE PROFESSORA LEDA MARIA QUEIROZ DO REGO BARROS")</f>
        <v>CRECHE PROFESSORA LEDA MARIA QUEIROZ DO REGO BARROS</v>
      </c>
      <c r="H300" s="90" t="str">
        <f>IFERROR(__xludf.dummyfunction("""COMPUTED_VALUE"""),"REGIONAL 2")</f>
        <v>REGIONAL 2</v>
      </c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ht="15.75" customHeight="1" spans="1:26">
      <c r="A301" s="90" t="str">
        <f>IFERROR(__xludf.dummyfunction("""COMPUTED_VALUE"""),"16/07/2026 01:57:54")</f>
        <v>16/07/2026 01:57:54</v>
      </c>
      <c r="B301" s="90" t="str">
        <f>IFERROR(__xludf.dummyfunction("""COMPUTED_VALUE"""),"7")</f>
        <v>7</v>
      </c>
      <c r="C301" s="90" t="str">
        <f>IFERROR(__xludf.dummyfunction("""COMPUTED_VALUE"""),"Maria Helena Oliveira de Lima")</f>
        <v>Maria Helena Oliveira de Lima</v>
      </c>
      <c r="D301" s="90" t="str">
        <f>IFERROR(__xludf.dummyfunction("""COMPUTED_VALUE"""),"27/08/2025")</f>
        <v>27/08/2025</v>
      </c>
      <c r="E301" s="90" t="str">
        <f>IFERROR(__xludf.dummyfunction("""COMPUTED_VALUE"""),"007.236.214-62")</f>
        <v>007.236.214-62</v>
      </c>
      <c r="F301" s="90" t="str">
        <f>IFERROR(__xludf.dummyfunction("""COMPUTED_VALUE"""),"INFANTIL 1")</f>
        <v>INFANTIL 1</v>
      </c>
      <c r="G301" s="90" t="str">
        <f>IFERROR(__xludf.dummyfunction("""COMPUTED_VALUE"""),"CRECHE PROFESSORA LEDA MARIA QUEIROZ DO REGO BARROS")</f>
        <v>CRECHE PROFESSORA LEDA MARIA QUEIROZ DO REGO BARROS</v>
      </c>
      <c r="H301" s="90" t="str">
        <f>IFERROR(__xludf.dummyfunction("""COMPUTED_VALUE"""),"REGIONAL 2")</f>
        <v>REGIONAL 2</v>
      </c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ht="15.75" customHeight="1" spans="1:26">
      <c r="A302" s="90" t="str">
        <f>IFERROR(__xludf.dummyfunction("""COMPUTED_VALUE"""),"23/07/2026 18:19:52")</f>
        <v>23/07/2026 18:19:52</v>
      </c>
      <c r="B302" s="90" t="str">
        <f>IFERROR(__xludf.dummyfunction("""COMPUTED_VALUE"""),"8")</f>
        <v>8</v>
      </c>
      <c r="C302" s="90" t="str">
        <f>IFERROR(__xludf.dummyfunction("""COMPUTED_VALUE"""),"Gael Eduardo Jesus da Cunha")</f>
        <v>Gael Eduardo Jesus da Cunha</v>
      </c>
      <c r="D302" s="90" t="str">
        <f>IFERROR(__xludf.dummyfunction("""COMPUTED_VALUE"""),"07/04/2025")</f>
        <v>07/04/2025</v>
      </c>
      <c r="E302" s="90" t="str">
        <f>IFERROR(__xludf.dummyfunction("""COMPUTED_VALUE"""),"005.889.824-74")</f>
        <v>005.889.824-74</v>
      </c>
      <c r="F302" s="90" t="str">
        <f>IFERROR(__xludf.dummyfunction("""COMPUTED_VALUE"""),"INFANTIL 1")</f>
        <v>INFANTIL 1</v>
      </c>
      <c r="G302" s="90" t="str">
        <f>IFERROR(__xludf.dummyfunction("""COMPUTED_VALUE"""),"CRECHE PROFESSORA LEDA MARIA QUEIROZ DO REGO BARROS")</f>
        <v>CRECHE PROFESSORA LEDA MARIA QUEIROZ DO REGO BARROS</v>
      </c>
      <c r="H302" s="90" t="str">
        <f>IFERROR(__xludf.dummyfunction("""COMPUTED_VALUE"""),"REGIONAL 2")</f>
        <v>REGIONAL 2</v>
      </c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ht="15.75" customHeight="1" spans="1:26">
      <c r="A303" s="90" t="str">
        <f>IFERROR(__xludf.dummyfunction("""COMPUTED_VALUE"""),"21/09/2026 09:50:34")</f>
        <v>21/09/2026 09:50:34</v>
      </c>
      <c r="B303" s="90" t="str">
        <f>IFERROR(__xludf.dummyfunction("""COMPUTED_VALUE"""),"9")</f>
        <v>9</v>
      </c>
      <c r="C303" s="90" t="str">
        <f>IFERROR(__xludf.dummyfunction("""COMPUTED_VALUE"""),"Rhavy Henrique Fradique santos de Souza")</f>
        <v>Rhavy Henrique Fradique santos de Souza</v>
      </c>
      <c r="D303" s="90" t="str">
        <f>IFERROR(__xludf.dummyfunction("""COMPUTED_VALUE"""),"16/03/2025")</f>
        <v>16/03/2025</v>
      </c>
      <c r="E303" s="90" t="str">
        <f>IFERROR(__xludf.dummyfunction("""COMPUTED_VALUE"""),"005.683.954-50")</f>
        <v>005.683.954-50</v>
      </c>
      <c r="F303" s="90" t="str">
        <f>IFERROR(__xludf.dummyfunction("""COMPUTED_VALUE"""),"INFANTIL 1")</f>
        <v>INFANTIL 1</v>
      </c>
      <c r="G303" s="90" t="str">
        <f>IFERROR(__xludf.dummyfunction("""COMPUTED_VALUE"""),"CRECHE PROFESSORA LEDA MARIA QUEIROZ DO REGO BARROS")</f>
        <v>CRECHE PROFESSORA LEDA MARIA QUEIROZ DO REGO BARROS</v>
      </c>
      <c r="H303" s="90" t="str">
        <f>IFERROR(__xludf.dummyfunction("""COMPUTED_VALUE"""),"REGIONAL 2")</f>
        <v>REGIONAL 2</v>
      </c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ht="15.75" customHeight="1" spans="1:26">
      <c r="A304" s="90" t="str">
        <f>IFERROR(__xludf.dummyfunction("""COMPUTED_VALUE"""),"02/02/2026 18:41:44")</f>
        <v>02/02/2026 18:41:44</v>
      </c>
      <c r="B304" s="90" t="str">
        <f>IFERROR(__xludf.dummyfunction("""COMPUTED_VALUE"""),"1")</f>
        <v>1</v>
      </c>
      <c r="C304" s="90" t="str">
        <f>IFERROR(__xludf.dummyfunction("""COMPUTED_VALUE"""),"YAN KLEYSLER DE SOUZA PORTO")</f>
        <v>YAN KLEYSLER DE SOUZA PORTO</v>
      </c>
      <c r="D304" s="90" t="str">
        <f>IFERROR(__xludf.dummyfunction("""COMPUTED_VALUE"""),"24/06/2023")</f>
        <v>24/06/2023</v>
      </c>
      <c r="E304" s="90" t="str">
        <f>IFERROR(__xludf.dummyfunction("""COMPUTED_VALUE"""),"185.920.164-44")</f>
        <v>185.920.164-44</v>
      </c>
      <c r="F304" s="90" t="str">
        <f>IFERROR(__xludf.dummyfunction("""COMPUTED_VALUE"""),"INFANTIL 2")</f>
        <v>INFANTIL 2</v>
      </c>
      <c r="G304" s="90" t="str">
        <f>IFERROR(__xludf.dummyfunction("""COMPUTED_VALUE"""),"CRECHE PROFESSORA LEDA MARIA QUEIROZ DO REGO BARROS")</f>
        <v>CRECHE PROFESSORA LEDA MARIA QUEIROZ DO REGO BARROS</v>
      </c>
      <c r="H304" s="90" t="str">
        <f>IFERROR(__xludf.dummyfunction("""COMPUTED_VALUE"""),"REGIONAL 2")</f>
        <v>REGIONAL 2</v>
      </c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ht="15.75" customHeight="1" spans="1:26">
      <c r="A305" s="90" t="str">
        <f>IFERROR(__xludf.dummyfunction("""COMPUTED_VALUE"""),"09/02/2026 08:20:49")</f>
        <v>09/02/2026 08:20:49</v>
      </c>
      <c r="B305" s="90" t="str">
        <f>IFERROR(__xludf.dummyfunction("""COMPUTED_VALUE"""),"2")</f>
        <v>2</v>
      </c>
      <c r="C305" s="90" t="str">
        <f>IFERROR(__xludf.dummyfunction("""COMPUTED_VALUE"""),"THEODORO RODRIGUES DE SOUZA")</f>
        <v>THEODORO RODRIGUES DE SOUZA</v>
      </c>
      <c r="D305" s="90" t="str">
        <f>IFERROR(__xludf.dummyfunction("""COMPUTED_VALUE"""),"10/03/2024")</f>
        <v>10/03/2024</v>
      </c>
      <c r="E305" s="90" t="str">
        <f>IFERROR(__xludf.dummyfunction("""COMPUTED_VALUE"""),"002.234.014-98")</f>
        <v>002.234.014-98</v>
      </c>
      <c r="F305" s="90" t="str">
        <f>IFERROR(__xludf.dummyfunction("""COMPUTED_VALUE"""),"INFANTIL 2")</f>
        <v>INFANTIL 2</v>
      </c>
      <c r="G305" s="90" t="str">
        <f>IFERROR(__xludf.dummyfunction("""COMPUTED_VALUE"""),"CRECHE PROFESSORA LEDA MARIA QUEIROZ DO REGO BARROS")</f>
        <v>CRECHE PROFESSORA LEDA MARIA QUEIROZ DO REGO BARROS</v>
      </c>
      <c r="H305" s="90" t="str">
        <f>IFERROR(__xludf.dummyfunction("""COMPUTED_VALUE"""),"REGIONAL 2")</f>
        <v>REGIONAL 2</v>
      </c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ht="15.75" customHeight="1" spans="1:26">
      <c r="A306" s="90" t="str">
        <f>IFERROR(__xludf.dummyfunction("""COMPUTED_VALUE"""),"09/03/2026 10:20:55")</f>
        <v>09/03/2026 10:20:55</v>
      </c>
      <c r="B306" s="90" t="str">
        <f>IFERROR(__xludf.dummyfunction("""COMPUTED_VALUE"""),"3")</f>
        <v>3</v>
      </c>
      <c r="C306" s="90" t="str">
        <f>IFERROR(__xludf.dummyfunction("""COMPUTED_VALUE"""),"SARAH JAAZIELY DA SILVA ALMEIDA")</f>
        <v>SARAH JAAZIELY DA SILVA ALMEIDA</v>
      </c>
      <c r="D306" s="90" t="str">
        <f>IFERROR(__xludf.dummyfunction("""COMPUTED_VALUE"""),"19/06/2023")</f>
        <v>19/06/2023</v>
      </c>
      <c r="E306" s="90" t="str">
        <f>IFERROR(__xludf.dummyfunction("""COMPUTED_VALUE"""),"185.906.584-81")</f>
        <v>185.906.584-81</v>
      </c>
      <c r="F306" s="90" t="str">
        <f>IFERROR(__xludf.dummyfunction("""COMPUTED_VALUE"""),"INFANTIL 2")</f>
        <v>INFANTIL 2</v>
      </c>
      <c r="G306" s="90" t="str">
        <f>IFERROR(__xludf.dummyfunction("""COMPUTED_VALUE"""),"CRECHE PROFESSORA LEDA MARIA QUEIROZ DO REGO BARROS")</f>
        <v>CRECHE PROFESSORA LEDA MARIA QUEIROZ DO REGO BARROS</v>
      </c>
      <c r="H306" s="90" t="str">
        <f>IFERROR(__xludf.dummyfunction("""COMPUTED_VALUE"""),"REGIONAL 2")</f>
        <v>REGIONAL 2</v>
      </c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ht="15.75" customHeight="1" spans="1:26">
      <c r="A307" s="90" t="str">
        <f>IFERROR(__xludf.dummyfunction("""COMPUTED_VALUE"""),"10/04/2026 02:09:34")</f>
        <v>10/04/2026 02:09:34</v>
      </c>
      <c r="B307" s="90" t="str">
        <f>IFERROR(__xludf.dummyfunction("""COMPUTED_VALUE"""),"4")</f>
        <v>4</v>
      </c>
      <c r="C307" s="90" t="str">
        <f>IFERROR(__xludf.dummyfunction("""COMPUTED_VALUE"""),"SAMUEL RICARDO SANTOS DO NASCIMENTO")</f>
        <v>SAMUEL RICARDO SANTOS DO NASCIMENTO</v>
      </c>
      <c r="D307" s="90" t="str">
        <f>IFERROR(__xludf.dummyfunction("""COMPUTED_VALUE"""),"10/08/2023")</f>
        <v>10/08/2023</v>
      </c>
      <c r="E307" s="90" t="str">
        <f>IFERROR(__xludf.dummyfunction("""COMPUTED_VALUE"""),"186.203.434-67")</f>
        <v>186.203.434-67</v>
      </c>
      <c r="F307" s="90" t="str">
        <f>IFERROR(__xludf.dummyfunction("""COMPUTED_VALUE"""),"INFANTIL 2")</f>
        <v>INFANTIL 2</v>
      </c>
      <c r="G307" s="90" t="str">
        <f>IFERROR(__xludf.dummyfunction("""COMPUTED_VALUE"""),"CRECHE PROFESSORA LEDA MARIA QUEIROZ DO REGO BARROS")</f>
        <v>CRECHE PROFESSORA LEDA MARIA QUEIROZ DO REGO BARROS</v>
      </c>
      <c r="H307" s="90" t="str">
        <f>IFERROR(__xludf.dummyfunction("""COMPUTED_VALUE"""),"REGIONAL 2")</f>
        <v>REGIONAL 2</v>
      </c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ht="15.75" customHeight="1" spans="1:26">
      <c r="A308" s="90" t="str">
        <f>IFERROR(__xludf.dummyfunction("""COMPUTED_VALUE"""),"22/04/2026 11:52:44")</f>
        <v>22/04/2026 11:52:44</v>
      </c>
      <c r="B308" s="90" t="str">
        <f>IFERROR(__xludf.dummyfunction("""COMPUTED_VALUE"""),"5")</f>
        <v>5</v>
      </c>
      <c r="C308" s="90" t="str">
        <f>IFERROR(__xludf.dummyfunction("""COMPUTED_VALUE"""),"HARIEL MIGUEL FAUSTINO")</f>
        <v>HARIEL MIGUEL FAUSTINO</v>
      </c>
      <c r="D308" s="90" t="str">
        <f>IFERROR(__xludf.dummyfunction("""COMPUTED_VALUE"""),"15/07/2023")</f>
        <v>15/07/2023</v>
      </c>
      <c r="E308" s="90" t="str">
        <f>IFERROR(__xludf.dummyfunction("""COMPUTED_VALUE"""),"186.111.564-47")</f>
        <v>186.111.564-47</v>
      </c>
      <c r="F308" s="90" t="str">
        <f>IFERROR(__xludf.dummyfunction("""COMPUTED_VALUE"""),"INFANTIL 2")</f>
        <v>INFANTIL 2</v>
      </c>
      <c r="G308" s="90" t="str">
        <f>IFERROR(__xludf.dummyfunction("""COMPUTED_VALUE"""),"CRECHE PROFESSORA LEDA MARIA QUEIROZ DO REGO BARROS")</f>
        <v>CRECHE PROFESSORA LEDA MARIA QUEIROZ DO REGO BARROS</v>
      </c>
      <c r="H308" s="90" t="str">
        <f>IFERROR(__xludf.dummyfunction("""COMPUTED_VALUE"""),"REGIONAL 2")</f>
        <v>REGIONAL 2</v>
      </c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ht="15.75" customHeight="1" spans="1:26">
      <c r="A309" s="90" t="str">
        <f>IFERROR(__xludf.dummyfunction("""COMPUTED_VALUE"""),"01/07/2026 14:38:50")</f>
        <v>01/07/2026 14:38:50</v>
      </c>
      <c r="B309" s="90" t="str">
        <f>IFERROR(__xludf.dummyfunction("""COMPUTED_VALUE"""),"6")</f>
        <v>6</v>
      </c>
      <c r="C309" s="90" t="str">
        <f>IFERROR(__xludf.dummyfunction("""COMPUTED_VALUE"""),"Aurora lima Dantas Farias Vera Cruz")</f>
        <v>Aurora lima Dantas Farias Vera Cruz</v>
      </c>
      <c r="D309" s="90" t="str">
        <f>IFERROR(__xludf.dummyfunction("""COMPUTED_VALUE"""),"20/05/2023")</f>
        <v>20/05/2023</v>
      </c>
      <c r="E309" s="90" t="str">
        <f>IFERROR(__xludf.dummyfunction("""COMPUTED_VALUE"""),"185.408.424-08")</f>
        <v>185.408.424-08</v>
      </c>
      <c r="F309" s="90" t="str">
        <f>IFERROR(__xludf.dummyfunction("""COMPUTED_VALUE"""),"INFANTIL 2")</f>
        <v>INFANTIL 2</v>
      </c>
      <c r="G309" s="90" t="str">
        <f>IFERROR(__xludf.dummyfunction("""COMPUTED_VALUE"""),"CRECHE PROFESSORA LEDA MARIA QUEIROZ DO REGO BARROS")</f>
        <v>CRECHE PROFESSORA LEDA MARIA QUEIROZ DO REGO BARROS</v>
      </c>
      <c r="H309" s="90" t="str">
        <f>IFERROR(__xludf.dummyfunction("""COMPUTED_VALUE"""),"REGIONAL 2")</f>
        <v>REGIONAL 2</v>
      </c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ht="15.75" customHeight="1" spans="1:26">
      <c r="A310" s="90" t="str">
        <f>IFERROR(__xludf.dummyfunction("""COMPUTED_VALUE"""),"03/09/2026 16:47:49")</f>
        <v>03/09/2026 16:47:49</v>
      </c>
      <c r="B310" s="90" t="str">
        <f>IFERROR(__xludf.dummyfunction("""COMPUTED_VALUE"""),"7")</f>
        <v>7</v>
      </c>
      <c r="C310" s="90" t="str">
        <f>IFERROR(__xludf.dummyfunction("""COMPUTED_VALUE"""),"Emily sofia carvalho da costa")</f>
        <v>Emily sofia carvalho da costa</v>
      </c>
      <c r="D310" s="90" t="str">
        <f>IFERROR(__xludf.dummyfunction("""COMPUTED_VALUE"""),"20/11/2023")</f>
        <v>20/11/2023</v>
      </c>
      <c r="E310" s="90" t="str">
        <f>IFERROR(__xludf.dummyfunction("""COMPUTED_VALUE"""),"001.041.054-61")</f>
        <v>001.041.054-61</v>
      </c>
      <c r="F310" s="90" t="str">
        <f>IFERROR(__xludf.dummyfunction("""COMPUTED_VALUE"""),"INFANTIL 2")</f>
        <v>INFANTIL 2</v>
      </c>
      <c r="G310" s="90" t="str">
        <f>IFERROR(__xludf.dummyfunction("""COMPUTED_VALUE"""),"CRECHE PROFESSORA LEDA MARIA QUEIROZ DO REGO BARROS")</f>
        <v>CRECHE PROFESSORA LEDA MARIA QUEIROZ DO REGO BARROS</v>
      </c>
      <c r="H310" s="90" t="str">
        <f>IFERROR(__xludf.dummyfunction("""COMPUTED_VALUE"""),"REGIONAL 2")</f>
        <v>REGIONAL 2</v>
      </c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ht="15.75" customHeight="1" spans="1:26">
      <c r="A311" s="90" t="str">
        <f>IFERROR(__xludf.dummyfunction("""COMPUTED_VALUE"""),"10/09/2026 21:06:59")</f>
        <v>10/09/2026 21:06:59</v>
      </c>
      <c r="B311" s="90" t="str">
        <f>IFERROR(__xludf.dummyfunction("""COMPUTED_VALUE"""),"8")</f>
        <v>8</v>
      </c>
      <c r="C311" s="90" t="str">
        <f>IFERROR(__xludf.dummyfunction("""COMPUTED_VALUE"""),"Àgata Sofia Alves De Santana")</f>
        <v>Àgata Sofia Alves De Santana</v>
      </c>
      <c r="D311" s="90" t="str">
        <f>IFERROR(__xludf.dummyfunction("""COMPUTED_VALUE"""),"29/12/2023")</f>
        <v>29/12/2023</v>
      </c>
      <c r="E311" s="90" t="str">
        <f>IFERROR(__xludf.dummyfunction("""COMPUTED_VALUE"""),"001.450.834-62")</f>
        <v>001.450.834-62</v>
      </c>
      <c r="F311" s="90" t="str">
        <f>IFERROR(__xludf.dummyfunction("""COMPUTED_VALUE"""),"INFANTIL 2")</f>
        <v>INFANTIL 2</v>
      </c>
      <c r="G311" s="90" t="str">
        <f>IFERROR(__xludf.dummyfunction("""COMPUTED_VALUE"""),"CRECHE PROFESSORA LEDA MARIA QUEIROZ DO REGO BARROS")</f>
        <v>CRECHE PROFESSORA LEDA MARIA QUEIROZ DO REGO BARROS</v>
      </c>
      <c r="H311" s="90" t="str">
        <f>IFERROR(__xludf.dummyfunction("""COMPUTED_VALUE"""),"REGIONAL 2")</f>
        <v>REGIONAL 2</v>
      </c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ht="15.75" customHeight="1" spans="1:26">
      <c r="A312" s="90" t="str">
        <f>IFERROR(__xludf.dummyfunction("""COMPUTED_VALUE"""),"10/09/2026 21:43:57")</f>
        <v>10/09/2026 21:43:57</v>
      </c>
      <c r="B312" s="90" t="str">
        <f>IFERROR(__xludf.dummyfunction("""COMPUTED_VALUE"""),"9")</f>
        <v>9</v>
      </c>
      <c r="C312" s="90" t="str">
        <f>IFERROR(__xludf.dummyfunction("""COMPUTED_VALUE"""),"Myrian Rebeca Lopes Borges")</f>
        <v>Myrian Rebeca Lopes Borges</v>
      </c>
      <c r="D312" s="90" t="str">
        <f>IFERROR(__xludf.dummyfunction("""COMPUTED_VALUE"""),"10/03/2024")</f>
        <v>10/03/2024</v>
      </c>
      <c r="E312" s="90" t="str">
        <f>IFERROR(__xludf.dummyfunction("""COMPUTED_VALUE"""),"002.224.504-95")</f>
        <v>002.224.504-95</v>
      </c>
      <c r="F312" s="90" t="str">
        <f>IFERROR(__xludf.dummyfunction("""COMPUTED_VALUE"""),"INFANTIL 2")</f>
        <v>INFANTIL 2</v>
      </c>
      <c r="G312" s="90" t="str">
        <f>IFERROR(__xludf.dummyfunction("""COMPUTED_VALUE"""),"CRECHE PROFESSORA LEDA MARIA QUEIROZ DO REGO BARROS")</f>
        <v>CRECHE PROFESSORA LEDA MARIA QUEIROZ DO REGO BARROS</v>
      </c>
      <c r="H312" s="90" t="str">
        <f>IFERROR(__xludf.dummyfunction("""COMPUTED_VALUE"""),"REGIONAL 2")</f>
        <v>REGIONAL 2</v>
      </c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ht="15.75" customHeight="1" spans="1:26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ht="15.75" customHeight="1" spans="1:26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ht="15.75" customHeight="1" spans="1:26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ht="15.75" customHeight="1" spans="1:26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ht="15.75" customHeight="1" spans="1:26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ht="15.75" customHeight="1" spans="1:26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ht="15.75" customHeight="1" spans="1:26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ht="15.75" customHeight="1" spans="1:26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ht="15.75" customHeight="1" spans="1:26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ht="15.75" customHeight="1" spans="1:26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ht="15.75" customHeight="1" spans="1:26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ht="15.75" customHeight="1" spans="1:26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ht="15.75" customHeight="1" spans="1:26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ht="15.75" customHeight="1" spans="1:26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ht="15.75" customHeight="1" spans="1:26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ht="15.75" customHeight="1" spans="1:26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ht="15.75" customHeight="1" spans="1:26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ht="15.75" customHeight="1" spans="1:26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ht="15.75" customHeight="1" spans="1:26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ht="15.75" customHeight="1" spans="1:26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ht="15.75" customHeight="1" spans="1:26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ht="15.75" customHeight="1" spans="1:26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ht="15.75" customHeight="1" spans="1:26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ht="15.75" customHeight="1" spans="1:26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ht="15.75" customHeight="1" spans="1:26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ht="15.75" customHeight="1" spans="1:26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ht="15.75" customHeight="1" spans="1:26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ht="15.75" customHeight="1" spans="1:26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ht="15.75" customHeight="1" spans="1:26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ht="15.75" customHeight="1" spans="1:26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ht="15.75" customHeight="1" spans="1:26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ht="15.75" customHeight="1" spans="1:26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ht="15.75" customHeight="1" spans="1:26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ht="15.75" customHeight="1" spans="1:26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ht="15.75" customHeight="1" spans="1:26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ht="15.75" customHeight="1" spans="1:26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ht="15.75" customHeight="1" spans="1:26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ht="15.75" customHeight="1" spans="1:26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ht="15.75" customHeight="1" spans="1:26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ht="15.75" customHeight="1" spans="1:26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ht="15.75" customHeight="1" spans="1:26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ht="15.75" customHeight="1" spans="1:26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ht="15.75" customHeight="1" spans="1:26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ht="15.75" customHeight="1" spans="1:26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ht="15.75" customHeight="1" spans="1:26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ht="15.75" customHeight="1" spans="1:26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ht="15.75" customHeight="1" spans="1:26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ht="15.75" customHeight="1" spans="1:26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ht="15.75" customHeight="1" spans="1:26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ht="15.75" customHeight="1" spans="1:26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ht="15.75" customHeight="1" spans="1:26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ht="15.75" customHeight="1" spans="1:26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ht="15.75" customHeight="1" spans="1:26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ht="15.75" customHeight="1" spans="1:26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ht="15.75" customHeight="1" spans="1:26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ht="15.75" customHeight="1" spans="1:26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ht="15.75" customHeight="1" spans="1:26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ht="15.75" customHeight="1" spans="1:26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ht="15.75" customHeight="1" spans="1:26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ht="15.75" customHeight="1" spans="1:26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ht="15.75" customHeight="1" spans="1:26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ht="15.75" customHeight="1" spans="1:26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ht="15.75" customHeight="1" spans="1:26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ht="15.75" customHeight="1" spans="1:26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ht="15.75" customHeight="1" spans="1:26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ht="15.75" customHeight="1" spans="1:26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ht="15.75" customHeight="1" spans="1:26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ht="15.75" customHeight="1" spans="1:26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ht="15.75" customHeight="1" spans="1:26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ht="15.75" customHeight="1" spans="1:26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ht="15.75" customHeight="1" spans="1:26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ht="15.75" customHeight="1" spans="1:26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ht="15.75" customHeight="1" spans="1:26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ht="15.75" customHeight="1" spans="1:26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ht="15.75" customHeight="1" spans="1:26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ht="15.75" customHeight="1" spans="1:26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ht="15.75" customHeight="1" spans="1:26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ht="15.75" customHeight="1" spans="1:26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ht="15.75" customHeight="1" spans="1:26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ht="15.75" customHeight="1" spans="1:26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ht="15.75" customHeight="1" spans="1:26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ht="15.75" customHeight="1" spans="1:26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ht="15.75" customHeight="1" spans="1:26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ht="15.75" customHeight="1" spans="1:26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ht="15.75" customHeight="1" spans="1:26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ht="15.75" customHeight="1" spans="1:26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ht="15.75" customHeight="1" spans="1:26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ht="15.75" customHeight="1" spans="1:26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ht="15.75" customHeight="1" spans="1:26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ht="15.75" customHeight="1" spans="1:26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ht="15.75" customHeight="1" spans="1:26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ht="15.75" customHeight="1" spans="1:26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ht="15.75" customHeight="1" spans="1:26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ht="15.75" customHeight="1" spans="1:26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ht="15.75" customHeight="1" spans="1:26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ht="15.75" customHeight="1" spans="1:26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ht="15.75" customHeight="1" spans="1:26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ht="15.75" customHeight="1" spans="1:26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ht="15.75" customHeight="1" spans="1:26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ht="15.75" customHeight="1" spans="1:26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ht="15.75" customHeight="1" spans="1:26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ht="15.75" customHeight="1" spans="1:26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ht="15.75" customHeight="1" spans="1:26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ht="15.75" customHeight="1" spans="1:26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ht="15.75" customHeight="1" spans="1:26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ht="15.75" customHeight="1" spans="1:26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ht="15.75" customHeight="1" spans="1:26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ht="15.75" customHeight="1" spans="1:26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ht="15.75" customHeight="1" spans="1:26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ht="15.75" customHeight="1" spans="1:26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ht="15.75" customHeight="1" spans="1:26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ht="15.75" customHeight="1" spans="1:26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ht="15.75" customHeight="1" spans="1:26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ht="15.75" customHeight="1" spans="1:26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ht="15.75" customHeight="1" spans="1:26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ht="15.75" customHeight="1" spans="1:26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ht="15.75" customHeight="1" spans="1:26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ht="15.75" customHeight="1" spans="1:26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ht="15.75" customHeight="1" spans="1:26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ht="15.75" customHeight="1" spans="1:26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ht="15.75" customHeight="1" spans="1:26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ht="15.75" customHeight="1" spans="1:26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ht="15.75" customHeight="1" spans="1:26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ht="15.75" customHeight="1" spans="1:26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ht="15.75" customHeight="1" spans="1:26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ht="15.75" customHeight="1" spans="1:26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ht="15.75" customHeight="1" spans="1:26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ht="15.75" customHeight="1" spans="1:26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ht="15.75" customHeight="1" spans="1:26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ht="15.75" customHeight="1" spans="1:26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ht="15.75" customHeight="1" spans="1:26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ht="15.75" customHeight="1" spans="1:26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ht="15.75" customHeight="1" spans="1:26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ht="15.75" customHeight="1" spans="1:26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ht="15.75" customHeight="1" spans="1:26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ht="15.75" customHeight="1" spans="1:26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ht="15.75" customHeight="1" spans="1:26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ht="15.75" customHeight="1" spans="1:26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ht="15.75" customHeight="1" spans="1:26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ht="15.75" customHeight="1" spans="1:26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ht="15.75" customHeight="1" spans="1:26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ht="15.75" customHeight="1" spans="1:26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ht="15.75" customHeight="1" spans="1:26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ht="15.75" customHeight="1" spans="1:26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ht="15.75" customHeight="1" spans="1:26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ht="15.75" customHeight="1" spans="1:26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ht="15.75" customHeight="1" spans="1:26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ht="15.75" customHeight="1" spans="1:26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ht="15.75" customHeight="1" spans="1:26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ht="15.75" customHeight="1" spans="1:26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ht="15.75" customHeight="1" spans="1:26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ht="15.75" customHeight="1" spans="1:26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ht="15.75" customHeight="1" spans="1:26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ht="15.75" customHeight="1" spans="1:26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ht="15.75" customHeight="1" spans="1:26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ht="15.75" customHeight="1" spans="1:26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ht="15.75" customHeight="1" spans="1:26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ht="15.75" customHeight="1" spans="1:26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ht="15.75" customHeight="1" spans="1:26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ht="15.75" customHeight="1" spans="1:26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ht="15.75" customHeight="1" spans="1:26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ht="15.75" customHeight="1" spans="1:26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ht="15.75" customHeight="1" spans="1:26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ht="15.75" customHeight="1" spans="1:26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ht="15.75" customHeight="1" spans="1:26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ht="15.75" customHeight="1" spans="1:26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ht="15.75" customHeight="1" spans="1:26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ht="15.75" customHeight="1" spans="1:26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ht="15.75" customHeight="1" spans="1:26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ht="15.75" customHeight="1" spans="1:26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ht="15.75" customHeight="1" spans="1:26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ht="15.75" customHeight="1" spans="1:26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ht="15.75" customHeight="1" spans="1:26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ht="15.75" customHeight="1" spans="1:26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ht="15.75" customHeight="1" spans="1:26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ht="15.75" customHeight="1" spans="1:26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ht="15.75" customHeight="1" spans="1:26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ht="15.75" customHeight="1" spans="1:26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ht="15.75" customHeight="1" spans="1:26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ht="15.75" customHeight="1" spans="1:26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ht="15.75" customHeight="1" spans="1:26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ht="15.75" customHeight="1" spans="1:26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ht="15.75" customHeight="1" spans="1:26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ht="15.75" customHeight="1" spans="1:26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ht="15.75" customHeight="1" spans="1:26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ht="15.75" customHeight="1" spans="1:26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ht="15.75" customHeight="1" spans="1:26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ht="15.75" customHeight="1" spans="1:26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ht="15.75" customHeight="1" spans="1:26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ht="15.75" customHeight="1" spans="1:26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ht="15.75" customHeight="1" spans="1:26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ht="15.75" customHeight="1" spans="1:26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ht="15.75" customHeight="1" spans="1:26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ht="15.75" customHeight="1" spans="1:26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ht="15.75" customHeight="1" spans="1:26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ht="15.75" customHeight="1" spans="1:26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ht="15.75" customHeight="1" spans="1:26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ht="15.75" customHeight="1" spans="1:26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ht="15.75" customHeight="1" spans="1:26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ht="15.75" customHeight="1" spans="1:26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ht="15.75" customHeight="1" spans="1:26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ht="15.75" customHeight="1" spans="1:26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ht="15.75" customHeight="1" spans="1:26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ht="15.75" customHeight="1" spans="1:26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ht="15.75" customHeight="1" spans="1:26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ht="15.75" customHeight="1" spans="1:26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ht="15.75" customHeight="1" spans="1:26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ht="15.75" customHeight="1" spans="1:26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ht="15.75" customHeight="1" spans="1:26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ht="15.75" customHeight="1" spans="1:26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ht="15.75" customHeight="1" spans="1:26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ht="15.75" customHeight="1" spans="1:26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ht="15.75" customHeight="1" spans="1:26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ht="15.75" customHeight="1" spans="1:26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ht="15.75" customHeight="1" spans="1:26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ht="15.75" customHeight="1" spans="1:26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ht="15.75" customHeight="1" spans="1:26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ht="15.75" customHeight="1" spans="1:26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ht="15.75" customHeight="1" spans="1:26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ht="15.75" customHeight="1" spans="1:26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ht="15.75" customHeight="1" spans="1:26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ht="15.75" customHeight="1" spans="1:26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ht="15.75" customHeight="1" spans="1:26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ht="15.75" customHeight="1" spans="1:26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ht="15.75" customHeight="1" spans="1:26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ht="15.75" customHeight="1" spans="1:26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ht="15.75" customHeight="1" spans="1:26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ht="15.75" customHeight="1" spans="1:26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ht="15.75" customHeight="1" spans="1:26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ht="15.75" customHeight="1" spans="1:26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ht="15.75" customHeight="1" spans="1:26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ht="15.75" customHeight="1" spans="1:26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ht="15.75" customHeight="1" spans="1:26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ht="15.75" customHeight="1" spans="1:26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ht="15.75" customHeight="1" spans="1:26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ht="15.75" customHeight="1" spans="1:26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ht="15.75" customHeight="1" spans="1:26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ht="15.75" customHeight="1" spans="1:26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ht="15.75" customHeight="1" spans="1:26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ht="15.75" customHeight="1" spans="1:26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ht="15.75" customHeight="1" spans="1:26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ht="15.75" customHeight="1" spans="1:26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ht="15.75" customHeight="1" spans="1:26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ht="15.75" customHeight="1" spans="1:26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ht="15.75" customHeight="1" spans="1:26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ht="15.75" customHeight="1" spans="1:26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ht="15.75" customHeight="1" spans="1:26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ht="15.75" customHeight="1" spans="1:26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ht="15.75" customHeight="1" spans="1:26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ht="15.75" customHeight="1" spans="1:26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ht="15.75" customHeight="1" spans="1:26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ht="15.75" customHeight="1" spans="1:26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ht="15.75" customHeight="1" spans="1:26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ht="15.75" customHeight="1" spans="1:26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ht="15.75" customHeight="1" spans="1:26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ht="15.75" customHeight="1" spans="1:26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ht="15.75" customHeight="1" spans="1:26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ht="15.75" customHeight="1" spans="1:26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ht="15.75" customHeight="1" spans="1:26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ht="15.75" customHeight="1" spans="1:26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ht="15.75" customHeight="1" spans="1:26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ht="15.75" customHeight="1" spans="1:26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ht="15.75" customHeight="1" spans="1:26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ht="15.75" customHeight="1" spans="1:26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ht="15.75" customHeight="1" spans="1:26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ht="15.75" customHeight="1" spans="1:26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ht="15.75" customHeight="1" spans="1:26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ht="15.75" customHeight="1" spans="1:26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ht="15.75" customHeight="1" spans="1:26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ht="15.75" customHeight="1" spans="1:26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ht="15.75" customHeight="1" spans="1:26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ht="15.75" customHeight="1" spans="1:26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ht="15.75" customHeight="1" spans="1:26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ht="15.75" customHeight="1" spans="1:26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ht="15.75" customHeight="1" spans="1:26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ht="15.75" customHeight="1" spans="1:26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ht="15.75" customHeight="1" spans="1:26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ht="15.75" customHeight="1" spans="1:26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ht="15.75" customHeight="1" spans="1:26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ht="15.75" customHeight="1" spans="1:26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ht="15.75" customHeight="1" spans="1:26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ht="15.75" customHeight="1" spans="1:26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ht="15.75" customHeight="1" spans="1:26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ht="15.75" customHeight="1" spans="1:26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ht="15.75" customHeight="1" spans="1:26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ht="15.75" customHeight="1" spans="1:26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ht="15.75" customHeight="1" spans="1:26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ht="15.75" customHeight="1" spans="1:26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ht="15.75" customHeight="1" spans="1:26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ht="15.75" customHeight="1" spans="1:26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ht="15.75" customHeight="1" spans="1:26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ht="15.75" customHeight="1" spans="1:26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ht="15.75" customHeight="1" spans="1:26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ht="15.75" customHeight="1" spans="1:26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ht="15.75" customHeight="1" spans="1:26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ht="15.75" customHeight="1" spans="1:26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ht="15.75" customHeight="1" spans="1:26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ht="15.75" customHeight="1" spans="1:26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ht="15.75" customHeight="1" spans="1:26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ht="15.75" customHeight="1" spans="1:26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ht="15.75" customHeight="1" spans="1:26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ht="15.75" customHeight="1" spans="1:26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ht="15.75" customHeight="1" spans="1:26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ht="15.75" customHeight="1" spans="1:26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ht="15.75" customHeight="1" spans="1:26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ht="15.75" customHeight="1" spans="1:26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ht="15.75" customHeight="1" spans="1:26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ht="15.75" customHeight="1" spans="1:26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ht="15.75" customHeight="1" spans="1:26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ht="15.75" customHeight="1" spans="1:26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ht="15.75" customHeight="1" spans="1:26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ht="15.75" customHeight="1" spans="1:26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ht="15.75" customHeight="1" spans="1:26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ht="15.75" customHeight="1" spans="1:26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ht="15.75" customHeight="1" spans="1:26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ht="15.75" customHeight="1" spans="1:26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ht="15.75" customHeight="1" spans="1:26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ht="15.75" customHeight="1" spans="1:26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ht="15.75" customHeight="1" spans="1:26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ht="15.75" customHeight="1" spans="1:26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ht="15.75" customHeight="1" spans="1:26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ht="15.75" customHeight="1" spans="1:26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ht="15.75" customHeight="1" spans="1:26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ht="15.75" customHeight="1" spans="1:26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ht="15.75" customHeight="1" spans="1:26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ht="15.75" customHeight="1" spans="1:26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ht="15.75" customHeight="1" spans="1:26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ht="15.75" customHeight="1" spans="1:26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ht="15.75" customHeight="1" spans="1:26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ht="15.75" customHeight="1" spans="1:26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ht="15.75" customHeight="1" spans="1:26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ht="15.75" customHeight="1" spans="1:26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ht="15.75" customHeight="1" spans="1:26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ht="15.75" customHeight="1" spans="1:26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ht="15.75" customHeight="1" spans="1:26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ht="15.75" customHeight="1" spans="1:26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ht="15.75" customHeight="1" spans="1:26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ht="15.75" customHeight="1" spans="1:26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ht="15.75" customHeight="1" spans="1:26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ht="15.75" customHeight="1" spans="1:26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ht="15.75" customHeight="1" spans="1:26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ht="15.75" customHeight="1" spans="1:26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ht="15.75" customHeight="1" spans="1:26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ht="15.75" customHeight="1" spans="1:26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ht="15.75" customHeight="1" spans="1:26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ht="15.75" customHeight="1" spans="1:26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ht="15.75" customHeight="1" spans="1:26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ht="15.75" customHeight="1" spans="1:26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ht="15.75" customHeight="1" spans="1:26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ht="15.75" customHeight="1" spans="1:26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ht="15.75" customHeight="1" spans="1:26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ht="15.75" customHeight="1" spans="1:26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ht="15.75" customHeight="1" spans="1:26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ht="15.75" customHeight="1" spans="1:26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ht="15.75" customHeight="1" spans="1:26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ht="15.75" customHeight="1" spans="1:26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ht="15.75" customHeight="1" spans="1:26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ht="15.75" customHeight="1" spans="1:26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ht="15.75" customHeight="1" spans="1:26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ht="15.75" customHeight="1" spans="1:26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ht="15.75" customHeight="1" spans="1:26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ht="15.75" customHeight="1" spans="1:26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ht="15.75" customHeight="1" spans="1:26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ht="15.75" customHeight="1" spans="1:26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ht="15.75" customHeight="1" spans="1:26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ht="15.75" customHeight="1" spans="1:26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ht="15.75" customHeight="1" spans="1:26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ht="15.75" customHeight="1" spans="1:26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ht="15.75" customHeight="1" spans="1:26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ht="15.75" customHeight="1" spans="1:26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ht="15.75" customHeight="1" spans="1:26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ht="15.75" customHeight="1" spans="1:26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ht="15.75" customHeight="1" spans="1:26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ht="15.75" customHeight="1" spans="1:26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ht="15.75" customHeight="1" spans="1:26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ht="15.75" customHeight="1" spans="1:26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ht="15.75" customHeight="1" spans="1:26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ht="15.75" customHeight="1" spans="1:26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ht="15.75" customHeight="1" spans="1:26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ht="15.75" customHeight="1" spans="1:26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ht="15.75" customHeight="1" spans="1:26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ht="15.75" customHeight="1" spans="1:26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ht="15.75" customHeight="1" spans="1:26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ht="15.75" customHeight="1" spans="1:26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ht="15.75" customHeight="1" spans="1:26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ht="15.75" customHeight="1" spans="1:26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ht="15.75" customHeight="1" spans="1:26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ht="15.75" customHeight="1" spans="1:26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ht="15.75" customHeight="1" spans="1:26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ht="15.75" customHeight="1" spans="1:26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ht="15.75" customHeight="1" spans="1:26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ht="15.75" customHeight="1" spans="1:26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ht="15.75" customHeight="1" spans="1:26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ht="15.75" customHeight="1" spans="1:26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ht="15.75" customHeight="1" spans="1:26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ht="15.75" customHeight="1" spans="1:26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ht="15.75" customHeight="1" spans="1:26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ht="15.75" customHeight="1" spans="1:26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ht="15.75" customHeight="1" spans="1:26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ht="15.75" customHeight="1" spans="1:26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ht="15.75" customHeight="1" spans="1:26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ht="15.75" customHeight="1" spans="1:26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ht="15.75" customHeight="1" spans="1:26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ht="15.75" customHeight="1" spans="1:26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ht="15.75" customHeight="1" spans="1:26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ht="15.75" customHeight="1" spans="1:26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ht="15.75" customHeight="1" spans="1:26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ht="15.75" customHeight="1" spans="1:26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ht="15.75" customHeight="1" spans="1:26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ht="15.75" customHeight="1" spans="1:26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ht="15.75" customHeight="1" spans="1:26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ht="15.75" customHeight="1" spans="1:26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ht="15.75" customHeight="1" spans="1:26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ht="15.75" customHeight="1" spans="1:26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ht="15.75" customHeight="1" spans="1:26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ht="15.75" customHeight="1" spans="1:26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ht="15.75" customHeight="1" spans="1:26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ht="15.75" customHeight="1" spans="1:26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ht="15.75" customHeight="1" spans="1:26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ht="15.75" customHeight="1" spans="1:26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ht="15.75" customHeight="1" spans="1:26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ht="15.75" customHeight="1" spans="1:26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ht="15.75" customHeight="1" spans="1:26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ht="15.75" customHeight="1" spans="1:26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ht="15.75" customHeight="1" spans="1:26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ht="15.75" customHeight="1" spans="1:26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ht="15.75" customHeight="1" spans="1:26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ht="15.75" customHeight="1" spans="1:26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ht="15.75" customHeight="1" spans="1:26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ht="15.75" customHeight="1" spans="1:26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ht="15.75" customHeight="1" spans="1:26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ht="15.75" customHeight="1" spans="1:26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ht="15.75" customHeight="1" spans="1:26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ht="15.75" customHeight="1" spans="1:26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ht="15.75" customHeight="1" spans="1:26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ht="15.75" customHeight="1" spans="1:26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ht="15.75" customHeight="1" spans="1:26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ht="15.75" customHeight="1" spans="1:26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ht="15.75" customHeight="1" spans="1:26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ht="15.75" customHeight="1" spans="1:26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ht="15.75" customHeight="1" spans="1:26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ht="15.75" customHeight="1" spans="1:26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ht="15.75" customHeight="1" spans="1:26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ht="15.75" customHeight="1" spans="1:26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ht="15.75" customHeight="1" spans="1:26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ht="15.75" customHeight="1" spans="1:26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ht="15.75" customHeight="1" spans="1:26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ht="15.75" customHeight="1" spans="1:26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ht="15.75" customHeight="1" spans="1:26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ht="15.75" customHeight="1" spans="1:26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ht="15.75" customHeight="1" spans="1:26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ht="15.75" customHeight="1" spans="1:26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ht="15.75" customHeight="1" spans="1:26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ht="15.75" customHeight="1" spans="1:26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ht="15.75" customHeight="1" spans="1:26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ht="15.75" customHeight="1" spans="1:26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ht="15.75" customHeight="1" spans="1:26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ht="15.75" customHeight="1" spans="1:26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ht="15.75" customHeight="1" spans="1:26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ht="15.75" customHeight="1" spans="1:26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ht="15.75" customHeight="1" spans="1:26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ht="15.75" customHeight="1" spans="1:26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ht="15.75" customHeight="1" spans="1:26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ht="15.75" customHeight="1" spans="1:26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ht="15.75" customHeight="1" spans="1:26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ht="15.75" customHeight="1" spans="1:26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ht="15.75" customHeight="1" spans="1:26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ht="15.75" customHeight="1" spans="1:26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ht="15.75" customHeight="1" spans="1:26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ht="15.75" customHeight="1" spans="1:26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ht="15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AH848"/>
  <sheetViews>
    <sheetView workbookViewId="0">
      <pane ySplit="2" topLeftCell="A3" activePane="bottomLeft" state="frozen"/>
      <selection/>
      <selection pane="bottomLeft" activeCell="B4" sqref="B4"/>
    </sheetView>
  </sheetViews>
  <sheetFormatPr defaultColWidth="14.43" defaultRowHeight="15" customHeight="1"/>
  <cols>
    <col min="1" max="1" width="10" customWidth="1"/>
    <col min="2" max="2" width="26.14" customWidth="1"/>
    <col min="3" max="3" width="13.29" customWidth="1"/>
    <col min="4" max="4" width="61" customWidth="1"/>
    <col min="5" max="5" width="54" customWidth="1"/>
    <col min="6" max="6" width="120.28" customWidth="1"/>
    <col min="7" max="7" width="20" customWidth="1"/>
    <col min="8" max="8" width="60.71" customWidth="1"/>
    <col min="9" max="34" width="13.71" customWidth="1"/>
  </cols>
  <sheetData>
    <row r="1" ht="13" spans="1:34">
      <c r="A1" s="123"/>
      <c r="B1" s="70"/>
      <c r="C1" s="124"/>
      <c r="D1" s="125" t="s">
        <v>20</v>
      </c>
      <c r="E1" s="126" t="s">
        <v>21</v>
      </c>
      <c r="F1" s="70"/>
      <c r="G1" s="70"/>
      <c r="H1" s="127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</row>
    <row r="2" ht="22.5" customHeight="1" spans="1:34">
      <c r="A2" s="128" t="s">
        <v>22</v>
      </c>
      <c r="B2" s="128" t="s">
        <v>23</v>
      </c>
      <c r="C2" s="129" t="s">
        <v>3</v>
      </c>
      <c r="D2" s="128" t="s">
        <v>24</v>
      </c>
      <c r="E2" s="128" t="s">
        <v>0</v>
      </c>
      <c r="F2" s="128" t="s">
        <v>25</v>
      </c>
      <c r="G2" s="128" t="s">
        <v>26</v>
      </c>
      <c r="H2" s="128" t="s">
        <v>27</v>
      </c>
      <c r="I2" s="128" t="s">
        <v>28</v>
      </c>
      <c r="J2" s="128" t="s">
        <v>29</v>
      </c>
      <c r="K2" s="128" t="s">
        <v>30</v>
      </c>
      <c r="L2" s="128" t="s">
        <v>31</v>
      </c>
      <c r="M2" s="128" t="s">
        <v>32</v>
      </c>
      <c r="N2" s="128" t="s">
        <v>33</v>
      </c>
      <c r="O2" s="128" t="s">
        <v>34</v>
      </c>
      <c r="P2" s="128" t="s">
        <v>35</v>
      </c>
      <c r="Q2" s="128" t="s">
        <v>36</v>
      </c>
      <c r="R2" s="128" t="s">
        <v>37</v>
      </c>
      <c r="S2" s="128" t="s">
        <v>38</v>
      </c>
      <c r="T2" s="128" t="s">
        <v>39</v>
      </c>
      <c r="U2" s="128" t="s">
        <v>40</v>
      </c>
      <c r="V2" s="128" t="s">
        <v>41</v>
      </c>
      <c r="W2" s="128" t="s">
        <v>42</v>
      </c>
      <c r="X2" s="128" t="s">
        <v>43</v>
      </c>
      <c r="Y2" s="128" t="s">
        <v>44</v>
      </c>
      <c r="Z2" s="128" t="s">
        <v>45</v>
      </c>
      <c r="AA2" s="128" t="s">
        <v>46</v>
      </c>
      <c r="AB2" s="128" t="s">
        <v>47</v>
      </c>
      <c r="AC2" s="128" t="s">
        <v>48</v>
      </c>
      <c r="AD2" s="128" t="s">
        <v>49</v>
      </c>
      <c r="AE2" s="128" t="s">
        <v>50</v>
      </c>
      <c r="AF2" s="128" t="s">
        <v>51</v>
      </c>
      <c r="AG2" s="128" t="s">
        <v>52</v>
      </c>
      <c r="AH2" s="128" t="s">
        <v>53</v>
      </c>
    </row>
    <row r="3" ht="22.5" customHeight="1" spans="1:34">
      <c r="A3" s="130"/>
      <c r="B3" s="131"/>
      <c r="C3" s="132"/>
      <c r="D3" s="131"/>
      <c r="E3" s="131"/>
      <c r="F3" s="131"/>
      <c r="G3" s="131"/>
      <c r="H3" s="133">
        <v>1</v>
      </c>
      <c r="I3" s="131" t="s">
        <v>54</v>
      </c>
      <c r="J3" s="131">
        <v>26196654</v>
      </c>
      <c r="K3" s="134" t="s">
        <v>55</v>
      </c>
      <c r="L3" s="134" t="s">
        <v>56</v>
      </c>
      <c r="M3" s="134" t="s">
        <v>57</v>
      </c>
      <c r="N3" s="134" t="s">
        <v>58</v>
      </c>
      <c r="O3" s="134" t="s">
        <v>59</v>
      </c>
      <c r="P3" s="134" t="s">
        <v>60</v>
      </c>
      <c r="Q3" s="134" t="s">
        <v>61</v>
      </c>
      <c r="R3" s="134" t="s">
        <v>62</v>
      </c>
      <c r="S3" s="134" t="s">
        <v>63</v>
      </c>
      <c r="T3" s="134" t="s">
        <v>64</v>
      </c>
      <c r="U3" s="134" t="s">
        <v>64</v>
      </c>
      <c r="V3" s="134"/>
      <c r="W3" s="134"/>
      <c r="X3" s="134" t="s">
        <v>65</v>
      </c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ht="22.5" customHeight="1" spans="1:34">
      <c r="A4" s="135">
        <v>1</v>
      </c>
      <c r="B4" s="136" t="s">
        <v>54</v>
      </c>
      <c r="C4" s="137" t="s">
        <v>66</v>
      </c>
      <c r="D4" s="136" t="s">
        <v>55</v>
      </c>
      <c r="E4" s="136" t="s">
        <v>56</v>
      </c>
      <c r="F4" s="136" t="s">
        <v>57</v>
      </c>
      <c r="G4" s="136" t="s">
        <v>58</v>
      </c>
      <c r="H4" s="138" t="s">
        <v>59</v>
      </c>
      <c r="I4" s="136" t="s">
        <v>60</v>
      </c>
      <c r="J4" s="136" t="s">
        <v>61</v>
      </c>
      <c r="K4" s="139" t="s">
        <v>62</v>
      </c>
      <c r="L4" s="139" t="s">
        <v>63</v>
      </c>
      <c r="M4" s="139" t="s">
        <v>64</v>
      </c>
      <c r="N4" s="139" t="s">
        <v>64</v>
      </c>
      <c r="O4" s="139"/>
      <c r="P4" s="139"/>
      <c r="Q4" s="139" t="s">
        <v>65</v>
      </c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</row>
    <row r="5" ht="22.5" customHeight="1" spans="1:34">
      <c r="A5" s="130">
        <v>2</v>
      </c>
      <c r="B5" s="131" t="s">
        <v>54</v>
      </c>
      <c r="C5" s="132" t="s">
        <v>67</v>
      </c>
      <c r="D5" s="131" t="s">
        <v>68</v>
      </c>
      <c r="E5" s="131" t="s">
        <v>69</v>
      </c>
      <c r="F5" s="131" t="s">
        <v>70</v>
      </c>
      <c r="G5" s="131" t="s">
        <v>71</v>
      </c>
      <c r="H5" s="133" t="s">
        <v>72</v>
      </c>
      <c r="I5" s="131" t="s">
        <v>60</v>
      </c>
      <c r="J5" s="131" t="s">
        <v>61</v>
      </c>
      <c r="K5" s="134" t="s">
        <v>73</v>
      </c>
      <c r="L5" s="134" t="s">
        <v>74</v>
      </c>
      <c r="M5" s="134" t="s">
        <v>75</v>
      </c>
      <c r="N5" s="134" t="s">
        <v>76</v>
      </c>
      <c r="O5" s="134"/>
      <c r="P5" s="134"/>
      <c r="Q5" s="134" t="s">
        <v>65</v>
      </c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</row>
    <row r="6" ht="22.5" customHeight="1" spans="1:34">
      <c r="A6" s="135">
        <v>3</v>
      </c>
      <c r="B6" s="136" t="s">
        <v>54</v>
      </c>
      <c r="C6" s="137" t="s">
        <v>77</v>
      </c>
      <c r="D6" s="136" t="s">
        <v>78</v>
      </c>
      <c r="E6" s="136" t="s">
        <v>79</v>
      </c>
      <c r="F6" s="136" t="s">
        <v>80</v>
      </c>
      <c r="G6" s="136" t="s">
        <v>81</v>
      </c>
      <c r="H6" s="138" t="s">
        <v>82</v>
      </c>
      <c r="I6" s="136" t="s">
        <v>60</v>
      </c>
      <c r="J6" s="136" t="s">
        <v>61</v>
      </c>
      <c r="K6" s="139" t="s">
        <v>83</v>
      </c>
      <c r="L6" s="139" t="s">
        <v>84</v>
      </c>
      <c r="M6" s="139" t="s">
        <v>85</v>
      </c>
      <c r="N6" s="139" t="s">
        <v>76</v>
      </c>
      <c r="O6" s="139"/>
      <c r="P6" s="139" t="s">
        <v>65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</row>
    <row r="7" ht="22.5" customHeight="1" spans="1:34">
      <c r="A7" s="130">
        <v>4</v>
      </c>
      <c r="B7" s="131" t="s">
        <v>54</v>
      </c>
      <c r="C7" s="132" t="s">
        <v>86</v>
      </c>
      <c r="D7" s="131" t="s">
        <v>87</v>
      </c>
      <c r="E7" s="131" t="s">
        <v>88</v>
      </c>
      <c r="F7" s="131" t="s">
        <v>89</v>
      </c>
      <c r="G7" s="131" t="s">
        <v>90</v>
      </c>
      <c r="H7" s="133" t="s">
        <v>91</v>
      </c>
      <c r="I7" s="131" t="s">
        <v>60</v>
      </c>
      <c r="J7" s="131" t="s">
        <v>92</v>
      </c>
      <c r="K7" s="134" t="s">
        <v>93</v>
      </c>
      <c r="L7" s="134" t="s">
        <v>94</v>
      </c>
      <c r="M7" s="134" t="s">
        <v>85</v>
      </c>
      <c r="N7" s="134" t="s">
        <v>76</v>
      </c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</row>
    <row r="8" ht="22.5" customHeight="1" spans="1:34">
      <c r="A8" s="135">
        <v>5</v>
      </c>
      <c r="B8" s="136" t="s">
        <v>54</v>
      </c>
      <c r="C8" s="137" t="s">
        <v>95</v>
      </c>
      <c r="D8" s="136" t="s">
        <v>96</v>
      </c>
      <c r="E8" s="136" t="s">
        <v>97</v>
      </c>
      <c r="F8" s="136" t="s">
        <v>98</v>
      </c>
      <c r="G8" s="136" t="s">
        <v>99</v>
      </c>
      <c r="H8" s="138" t="s">
        <v>100</v>
      </c>
      <c r="I8" s="136" t="s">
        <v>60</v>
      </c>
      <c r="J8" s="136" t="s">
        <v>61</v>
      </c>
      <c r="K8" s="139" t="s">
        <v>101</v>
      </c>
      <c r="L8" s="139" t="s">
        <v>102</v>
      </c>
      <c r="M8" s="139" t="s">
        <v>103</v>
      </c>
      <c r="N8" s="139" t="s">
        <v>76</v>
      </c>
      <c r="O8" s="139"/>
      <c r="P8" s="139"/>
      <c r="Q8" s="139" t="s">
        <v>65</v>
      </c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</row>
    <row r="9" ht="22.5" customHeight="1" spans="1:34">
      <c r="A9" s="130">
        <v>6</v>
      </c>
      <c r="B9" s="131" t="s">
        <v>54</v>
      </c>
      <c r="C9" s="132" t="s">
        <v>104</v>
      </c>
      <c r="D9" s="131" t="s">
        <v>105</v>
      </c>
      <c r="E9" s="131" t="s">
        <v>106</v>
      </c>
      <c r="F9" s="131" t="s">
        <v>107</v>
      </c>
      <c r="G9" s="131" t="s">
        <v>108</v>
      </c>
      <c r="H9" s="133" t="s">
        <v>109</v>
      </c>
      <c r="I9" s="131" t="s">
        <v>60</v>
      </c>
      <c r="J9" s="131" t="s">
        <v>61</v>
      </c>
      <c r="K9" s="134" t="s">
        <v>110</v>
      </c>
      <c r="L9" s="134" t="s">
        <v>111</v>
      </c>
      <c r="M9" s="134" t="s">
        <v>112</v>
      </c>
      <c r="N9" s="134" t="s">
        <v>76</v>
      </c>
      <c r="O9" s="134"/>
      <c r="P9" s="134"/>
      <c r="Q9" s="134" t="s">
        <v>65</v>
      </c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</row>
    <row r="10" ht="22.5" customHeight="1" spans="1:34">
      <c r="A10" s="135">
        <v>7</v>
      </c>
      <c r="B10" s="136" t="s">
        <v>54</v>
      </c>
      <c r="C10" s="137" t="s">
        <v>113</v>
      </c>
      <c r="D10" s="136" t="s">
        <v>114</v>
      </c>
      <c r="E10" s="136" t="s">
        <v>115</v>
      </c>
      <c r="F10" s="136" t="s">
        <v>116</v>
      </c>
      <c r="G10" s="136" t="s">
        <v>117</v>
      </c>
      <c r="H10" s="138" t="s">
        <v>118</v>
      </c>
      <c r="I10" s="136" t="s">
        <v>60</v>
      </c>
      <c r="J10" s="136" t="s">
        <v>61</v>
      </c>
      <c r="K10" s="139" t="s">
        <v>119</v>
      </c>
      <c r="L10" s="139" t="s">
        <v>120</v>
      </c>
      <c r="M10" s="139" t="s">
        <v>64</v>
      </c>
      <c r="N10" s="139" t="s">
        <v>76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</row>
    <row r="11" ht="22.5" customHeight="1" spans="1:34">
      <c r="A11" s="130">
        <v>8</v>
      </c>
      <c r="B11" s="131" t="s">
        <v>54</v>
      </c>
      <c r="C11" s="132" t="s">
        <v>121</v>
      </c>
      <c r="D11" s="131" t="s">
        <v>122</v>
      </c>
      <c r="E11" s="131" t="s">
        <v>123</v>
      </c>
      <c r="F11" s="131" t="s">
        <v>124</v>
      </c>
      <c r="G11" s="131" t="s">
        <v>125</v>
      </c>
      <c r="H11" s="133" t="s">
        <v>126</v>
      </c>
      <c r="I11" s="131" t="s">
        <v>60</v>
      </c>
      <c r="J11" s="131" t="s">
        <v>61</v>
      </c>
      <c r="K11" s="134" t="s">
        <v>127</v>
      </c>
      <c r="L11" s="134" t="s">
        <v>128</v>
      </c>
      <c r="M11" s="134" t="s">
        <v>129</v>
      </c>
      <c r="N11" s="134" t="s">
        <v>76</v>
      </c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</row>
    <row r="12" ht="22.5" customHeight="1" spans="1:34">
      <c r="A12" s="135">
        <v>9</v>
      </c>
      <c r="B12" s="136" t="s">
        <v>54</v>
      </c>
      <c r="C12" s="137" t="s">
        <v>130</v>
      </c>
      <c r="D12" s="136" t="s">
        <v>131</v>
      </c>
      <c r="E12" s="136" t="s">
        <v>132</v>
      </c>
      <c r="F12" s="136" t="s">
        <v>133</v>
      </c>
      <c r="G12" s="136" t="s">
        <v>134</v>
      </c>
      <c r="H12" s="138" t="s">
        <v>135</v>
      </c>
      <c r="I12" s="136" t="s">
        <v>136</v>
      </c>
      <c r="J12" s="136" t="s">
        <v>61</v>
      </c>
      <c r="K12" s="139" t="s">
        <v>137</v>
      </c>
      <c r="L12" s="139" t="s">
        <v>138</v>
      </c>
      <c r="M12" s="139" t="s">
        <v>139</v>
      </c>
      <c r="N12" s="139" t="s">
        <v>76</v>
      </c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</row>
    <row r="13" ht="22.5" customHeight="1" spans="1:34">
      <c r="A13" s="130">
        <v>10</v>
      </c>
      <c r="B13" s="131" t="s">
        <v>54</v>
      </c>
      <c r="C13" s="132" t="s">
        <v>140</v>
      </c>
      <c r="D13" s="131" t="s">
        <v>141</v>
      </c>
      <c r="E13" s="131" t="s">
        <v>142</v>
      </c>
      <c r="F13" s="131" t="s">
        <v>143</v>
      </c>
      <c r="G13" s="131" t="s">
        <v>144</v>
      </c>
      <c r="H13" s="133" t="s">
        <v>145</v>
      </c>
      <c r="I13" s="131" t="s">
        <v>60</v>
      </c>
      <c r="J13" s="131" t="s">
        <v>61</v>
      </c>
      <c r="K13" s="134" t="s">
        <v>146</v>
      </c>
      <c r="L13" s="134" t="s">
        <v>120</v>
      </c>
      <c r="M13" s="134" t="s">
        <v>64</v>
      </c>
      <c r="N13" s="134" t="s">
        <v>76</v>
      </c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</row>
    <row r="14" ht="22.5" customHeight="1" spans="1:34">
      <c r="A14" s="135">
        <v>11</v>
      </c>
      <c r="B14" s="136" t="s">
        <v>54</v>
      </c>
      <c r="C14" s="137" t="s">
        <v>147</v>
      </c>
      <c r="D14" s="136" t="s">
        <v>148</v>
      </c>
      <c r="E14" s="136" t="s">
        <v>149</v>
      </c>
      <c r="F14" s="136" t="s">
        <v>150</v>
      </c>
      <c r="G14" s="136" t="s">
        <v>151</v>
      </c>
      <c r="H14" s="138" t="s">
        <v>152</v>
      </c>
      <c r="I14" s="136" t="s">
        <v>60</v>
      </c>
      <c r="J14" s="136" t="s">
        <v>61</v>
      </c>
      <c r="K14" s="139" t="s">
        <v>153</v>
      </c>
      <c r="L14" s="139" t="s">
        <v>154</v>
      </c>
      <c r="M14" s="139" t="s">
        <v>129</v>
      </c>
      <c r="N14" s="139" t="s">
        <v>76</v>
      </c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</row>
    <row r="15" ht="22.5" customHeight="1" spans="1:34">
      <c r="A15" s="130">
        <v>12</v>
      </c>
      <c r="B15" s="131" t="s">
        <v>54</v>
      </c>
      <c r="C15" s="132" t="s">
        <v>155</v>
      </c>
      <c r="D15" s="131" t="s">
        <v>156</v>
      </c>
      <c r="E15" s="131" t="s">
        <v>157</v>
      </c>
      <c r="F15" s="131" t="s">
        <v>158</v>
      </c>
      <c r="G15" s="131" t="s">
        <v>159</v>
      </c>
      <c r="H15" s="133" t="s">
        <v>160</v>
      </c>
      <c r="I15" s="131" t="s">
        <v>60</v>
      </c>
      <c r="J15" s="131" t="s">
        <v>61</v>
      </c>
      <c r="K15" s="134" t="s">
        <v>161</v>
      </c>
      <c r="L15" s="134" t="s">
        <v>162</v>
      </c>
      <c r="M15" s="134" t="s">
        <v>163</v>
      </c>
      <c r="N15" s="134" t="s">
        <v>76</v>
      </c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</row>
    <row r="16" ht="22.5" customHeight="1" spans="1:34">
      <c r="A16" s="135">
        <v>13</v>
      </c>
      <c r="B16" s="136" t="s">
        <v>54</v>
      </c>
      <c r="C16" s="137" t="s">
        <v>164</v>
      </c>
      <c r="D16" s="136" t="s">
        <v>165</v>
      </c>
      <c r="E16" s="136" t="s">
        <v>166</v>
      </c>
      <c r="F16" s="136" t="s">
        <v>167</v>
      </c>
      <c r="G16" s="136" t="s">
        <v>168</v>
      </c>
      <c r="H16" s="138" t="s">
        <v>169</v>
      </c>
      <c r="I16" s="136" t="s">
        <v>60</v>
      </c>
      <c r="J16" s="136" t="s">
        <v>61</v>
      </c>
      <c r="K16" s="139" t="s">
        <v>170</v>
      </c>
      <c r="L16" s="139" t="s">
        <v>171</v>
      </c>
      <c r="M16" s="139" t="s">
        <v>172</v>
      </c>
      <c r="N16" s="139" t="s">
        <v>76</v>
      </c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</row>
    <row r="17" ht="22.5" customHeight="1" spans="1:34">
      <c r="A17" s="130">
        <v>14</v>
      </c>
      <c r="B17" s="131" t="s">
        <v>54</v>
      </c>
      <c r="C17" s="132" t="s">
        <v>173</v>
      </c>
      <c r="D17" s="131" t="s">
        <v>174</v>
      </c>
      <c r="E17" s="131" t="s">
        <v>175</v>
      </c>
      <c r="F17" s="131" t="s">
        <v>176</v>
      </c>
      <c r="G17" s="131" t="s">
        <v>177</v>
      </c>
      <c r="H17" s="133" t="s">
        <v>178</v>
      </c>
      <c r="I17" s="131" t="s">
        <v>136</v>
      </c>
      <c r="J17" s="131" t="s">
        <v>61</v>
      </c>
      <c r="K17" s="134" t="s">
        <v>179</v>
      </c>
      <c r="L17" s="134" t="s">
        <v>180</v>
      </c>
      <c r="M17" s="134" t="s">
        <v>181</v>
      </c>
      <c r="N17" s="134" t="s">
        <v>76</v>
      </c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</row>
    <row r="18" ht="22.5" customHeight="1" spans="1:34">
      <c r="A18" s="135">
        <v>15</v>
      </c>
      <c r="B18" s="136" t="s">
        <v>54</v>
      </c>
      <c r="C18" s="137" t="s">
        <v>182</v>
      </c>
      <c r="D18" s="136" t="s">
        <v>183</v>
      </c>
      <c r="E18" s="136" t="s">
        <v>184</v>
      </c>
      <c r="F18" s="136" t="s">
        <v>185</v>
      </c>
      <c r="G18" s="136" t="s">
        <v>186</v>
      </c>
      <c r="H18" s="138" t="s">
        <v>187</v>
      </c>
      <c r="I18" s="136" t="s">
        <v>60</v>
      </c>
      <c r="J18" s="136" t="s">
        <v>61</v>
      </c>
      <c r="K18" s="139" t="s">
        <v>188</v>
      </c>
      <c r="L18" s="139" t="s">
        <v>189</v>
      </c>
      <c r="M18" s="139" t="s">
        <v>163</v>
      </c>
      <c r="N18" s="139" t="s">
        <v>76</v>
      </c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</row>
    <row r="19" ht="22.5" customHeight="1" spans="1:34">
      <c r="A19" s="130">
        <v>16</v>
      </c>
      <c r="B19" s="131" t="s">
        <v>54</v>
      </c>
      <c r="C19" s="132" t="s">
        <v>190</v>
      </c>
      <c r="D19" s="131" t="s">
        <v>191</v>
      </c>
      <c r="E19" s="131" t="s">
        <v>192</v>
      </c>
      <c r="F19" s="131" t="s">
        <v>193</v>
      </c>
      <c r="G19" s="131" t="s">
        <v>194</v>
      </c>
      <c r="H19" s="133" t="s">
        <v>195</v>
      </c>
      <c r="I19" s="131" t="s">
        <v>60</v>
      </c>
      <c r="J19" s="131" t="s">
        <v>61</v>
      </c>
      <c r="K19" s="134" t="s">
        <v>196</v>
      </c>
      <c r="L19" s="134" t="s">
        <v>197</v>
      </c>
      <c r="M19" s="134" t="s">
        <v>163</v>
      </c>
      <c r="N19" s="134" t="s">
        <v>76</v>
      </c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</row>
    <row r="20" ht="22.5" customHeight="1" spans="1:34">
      <c r="A20" s="135">
        <v>17</v>
      </c>
      <c r="B20" s="136" t="s">
        <v>54</v>
      </c>
      <c r="C20" s="137" t="s">
        <v>198</v>
      </c>
      <c r="D20" s="136" t="s">
        <v>199</v>
      </c>
      <c r="E20" s="136" t="s">
        <v>200</v>
      </c>
      <c r="F20" s="136" t="s">
        <v>201</v>
      </c>
      <c r="G20" s="136" t="s">
        <v>202</v>
      </c>
      <c r="H20" s="138" t="s">
        <v>203</v>
      </c>
      <c r="I20" s="136" t="s">
        <v>136</v>
      </c>
      <c r="J20" s="136" t="s">
        <v>61</v>
      </c>
      <c r="K20" s="139" t="s">
        <v>204</v>
      </c>
      <c r="L20" s="139" t="s">
        <v>205</v>
      </c>
      <c r="M20" s="139" t="s">
        <v>206</v>
      </c>
      <c r="N20" s="139" t="s">
        <v>76</v>
      </c>
      <c r="O20" s="139"/>
      <c r="P20" s="139" t="s">
        <v>65</v>
      </c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</row>
    <row r="21" ht="22.5" customHeight="1" spans="1:34">
      <c r="A21" s="130">
        <v>18</v>
      </c>
      <c r="B21" s="131" t="s">
        <v>54</v>
      </c>
      <c r="C21" s="132" t="s">
        <v>207</v>
      </c>
      <c r="D21" s="131" t="s">
        <v>208</v>
      </c>
      <c r="E21" s="131" t="s">
        <v>209</v>
      </c>
      <c r="F21" s="131" t="s">
        <v>210</v>
      </c>
      <c r="G21" s="131" t="s">
        <v>211</v>
      </c>
      <c r="H21" s="133" t="s">
        <v>212</v>
      </c>
      <c r="I21" s="131" t="s">
        <v>60</v>
      </c>
      <c r="J21" s="131" t="s">
        <v>61</v>
      </c>
      <c r="K21" s="134" t="s">
        <v>213</v>
      </c>
      <c r="L21" s="134" t="s">
        <v>214</v>
      </c>
      <c r="M21" s="134" t="s">
        <v>112</v>
      </c>
      <c r="N21" s="134" t="s">
        <v>76</v>
      </c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</row>
    <row r="22" ht="22.5" customHeight="1" spans="1:34">
      <c r="A22" s="135">
        <v>19</v>
      </c>
      <c r="B22" s="136" t="s">
        <v>54</v>
      </c>
      <c r="C22" s="137" t="s">
        <v>215</v>
      </c>
      <c r="D22" s="136" t="s">
        <v>216</v>
      </c>
      <c r="E22" s="136" t="s">
        <v>217</v>
      </c>
      <c r="F22" s="136" t="s">
        <v>218</v>
      </c>
      <c r="G22" s="136" t="s">
        <v>219</v>
      </c>
      <c r="H22" s="138" t="s">
        <v>220</v>
      </c>
      <c r="I22" s="136" t="s">
        <v>60</v>
      </c>
      <c r="J22" s="136" t="s">
        <v>61</v>
      </c>
      <c r="K22" s="139" t="s">
        <v>221</v>
      </c>
      <c r="L22" s="139" t="s">
        <v>222</v>
      </c>
      <c r="M22" s="139" t="s">
        <v>129</v>
      </c>
      <c r="N22" s="139" t="s">
        <v>76</v>
      </c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</row>
    <row r="23" ht="22.5" customHeight="1" spans="1:34">
      <c r="A23" s="130">
        <v>20</v>
      </c>
      <c r="B23" s="131" t="s">
        <v>54</v>
      </c>
      <c r="C23" s="132" t="s">
        <v>223</v>
      </c>
      <c r="D23" s="131" t="s">
        <v>224</v>
      </c>
      <c r="E23" s="131" t="s">
        <v>225</v>
      </c>
      <c r="F23" s="131" t="s">
        <v>226</v>
      </c>
      <c r="G23" s="131" t="s">
        <v>227</v>
      </c>
      <c r="H23" s="133" t="s">
        <v>228</v>
      </c>
      <c r="I23" s="131" t="s">
        <v>60</v>
      </c>
      <c r="J23" s="131" t="s">
        <v>61</v>
      </c>
      <c r="K23" s="134" t="s">
        <v>229</v>
      </c>
      <c r="L23" s="134" t="s">
        <v>230</v>
      </c>
      <c r="M23" s="134" t="s">
        <v>103</v>
      </c>
      <c r="N23" s="134" t="s">
        <v>76</v>
      </c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</row>
    <row r="24" ht="22.5" customHeight="1" spans="1:34">
      <c r="A24" s="135">
        <v>21</v>
      </c>
      <c r="B24" s="136" t="s">
        <v>54</v>
      </c>
      <c r="C24" s="137" t="s">
        <v>231</v>
      </c>
      <c r="D24" s="136" t="s">
        <v>232</v>
      </c>
      <c r="E24" s="136" t="s">
        <v>233</v>
      </c>
      <c r="F24" s="136" t="s">
        <v>234</v>
      </c>
      <c r="G24" s="136" t="s">
        <v>235</v>
      </c>
      <c r="H24" s="138" t="s">
        <v>236</v>
      </c>
      <c r="I24" s="136" t="s">
        <v>136</v>
      </c>
      <c r="J24" s="136" t="s">
        <v>61</v>
      </c>
      <c r="K24" s="139" t="s">
        <v>237</v>
      </c>
      <c r="L24" s="139" t="s">
        <v>180</v>
      </c>
      <c r="M24" s="139" t="s">
        <v>64</v>
      </c>
      <c r="N24" s="139" t="s">
        <v>76</v>
      </c>
      <c r="O24" s="139"/>
      <c r="P24" s="139" t="s">
        <v>65</v>
      </c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</row>
    <row r="25" ht="22.5" customHeight="1" spans="1:34">
      <c r="A25" s="130">
        <v>22</v>
      </c>
      <c r="B25" s="131" t="s">
        <v>54</v>
      </c>
      <c r="C25" s="132" t="s">
        <v>238</v>
      </c>
      <c r="D25" s="131" t="s">
        <v>239</v>
      </c>
      <c r="E25" s="131" t="s">
        <v>240</v>
      </c>
      <c r="F25" s="131" t="s">
        <v>241</v>
      </c>
      <c r="G25" s="131" t="s">
        <v>242</v>
      </c>
      <c r="H25" s="133" t="s">
        <v>243</v>
      </c>
      <c r="I25" s="131" t="s">
        <v>60</v>
      </c>
      <c r="J25" s="131" t="s">
        <v>61</v>
      </c>
      <c r="K25" s="134" t="s">
        <v>244</v>
      </c>
      <c r="L25" s="134" t="s">
        <v>245</v>
      </c>
      <c r="M25" s="134" t="s">
        <v>64</v>
      </c>
      <c r="N25" s="134" t="s">
        <v>76</v>
      </c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</row>
    <row r="26" ht="22.5" customHeight="1" spans="1:34">
      <c r="A26" s="135">
        <v>23</v>
      </c>
      <c r="B26" s="136" t="s">
        <v>54</v>
      </c>
      <c r="C26" s="137" t="s">
        <v>246</v>
      </c>
      <c r="D26" s="136" t="s">
        <v>247</v>
      </c>
      <c r="E26" s="136" t="s">
        <v>248</v>
      </c>
      <c r="F26" s="136" t="s">
        <v>249</v>
      </c>
      <c r="G26" s="136" t="s">
        <v>250</v>
      </c>
      <c r="H26" s="138" t="s">
        <v>251</v>
      </c>
      <c r="I26" s="136" t="s">
        <v>60</v>
      </c>
      <c r="J26" s="136" t="s">
        <v>61</v>
      </c>
      <c r="K26" s="139" t="s">
        <v>252</v>
      </c>
      <c r="L26" s="139" t="s">
        <v>253</v>
      </c>
      <c r="M26" s="139" t="s">
        <v>129</v>
      </c>
      <c r="N26" s="139" t="s">
        <v>76</v>
      </c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</row>
    <row r="27" ht="22.5" customHeight="1" spans="1:34">
      <c r="A27" s="130">
        <v>24</v>
      </c>
      <c r="B27" s="131" t="s">
        <v>54</v>
      </c>
      <c r="C27" s="132" t="s">
        <v>254</v>
      </c>
      <c r="D27" s="131" t="s">
        <v>255</v>
      </c>
      <c r="E27" s="131" t="s">
        <v>256</v>
      </c>
      <c r="F27" s="131" t="s">
        <v>257</v>
      </c>
      <c r="G27" s="131" t="s">
        <v>258</v>
      </c>
      <c r="H27" s="133" t="s">
        <v>259</v>
      </c>
      <c r="I27" s="131" t="s">
        <v>60</v>
      </c>
      <c r="J27" s="131" t="s">
        <v>61</v>
      </c>
      <c r="K27" s="134" t="s">
        <v>260</v>
      </c>
      <c r="L27" s="134" t="s">
        <v>261</v>
      </c>
      <c r="M27" s="134" t="s">
        <v>103</v>
      </c>
      <c r="N27" s="134" t="s">
        <v>76</v>
      </c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</row>
    <row r="28" ht="22.5" customHeight="1" spans="1:34">
      <c r="A28" s="135">
        <v>25</v>
      </c>
      <c r="B28" s="136" t="s">
        <v>54</v>
      </c>
      <c r="C28" s="137" t="s">
        <v>262</v>
      </c>
      <c r="D28" s="136" t="s">
        <v>263</v>
      </c>
      <c r="E28" s="136" t="s">
        <v>264</v>
      </c>
      <c r="F28" s="136" t="s">
        <v>265</v>
      </c>
      <c r="G28" s="136" t="s">
        <v>266</v>
      </c>
      <c r="H28" s="138" t="s">
        <v>267</v>
      </c>
      <c r="I28" s="136" t="s">
        <v>60</v>
      </c>
      <c r="J28" s="136" t="s">
        <v>61</v>
      </c>
      <c r="K28" s="139" t="s">
        <v>268</v>
      </c>
      <c r="L28" s="139" t="s">
        <v>269</v>
      </c>
      <c r="M28" s="139" t="s">
        <v>129</v>
      </c>
      <c r="N28" s="139" t="s">
        <v>76</v>
      </c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</row>
    <row r="29" ht="22.5" customHeight="1" spans="1:34">
      <c r="A29" s="130">
        <v>26</v>
      </c>
      <c r="B29" s="131" t="s">
        <v>54</v>
      </c>
      <c r="C29" s="132" t="s">
        <v>270</v>
      </c>
      <c r="D29" s="131" t="s">
        <v>271</v>
      </c>
      <c r="E29" s="131" t="s">
        <v>272</v>
      </c>
      <c r="F29" s="131" t="s">
        <v>273</v>
      </c>
      <c r="G29" s="131" t="s">
        <v>274</v>
      </c>
      <c r="H29" s="133" t="s">
        <v>275</v>
      </c>
      <c r="I29" s="131" t="s">
        <v>136</v>
      </c>
      <c r="J29" s="131" t="s">
        <v>61</v>
      </c>
      <c r="K29" s="134" t="s">
        <v>276</v>
      </c>
      <c r="L29" s="134" t="s">
        <v>277</v>
      </c>
      <c r="M29" s="134" t="s">
        <v>64</v>
      </c>
      <c r="N29" s="134" t="s">
        <v>76</v>
      </c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</row>
    <row r="30" ht="22.5" customHeight="1" spans="1:34">
      <c r="A30" s="135">
        <v>27</v>
      </c>
      <c r="B30" s="136" t="s">
        <v>54</v>
      </c>
      <c r="C30" s="137" t="s">
        <v>278</v>
      </c>
      <c r="D30" s="136" t="s">
        <v>279</v>
      </c>
      <c r="E30" s="136" t="s">
        <v>280</v>
      </c>
      <c r="F30" s="136" t="s">
        <v>281</v>
      </c>
      <c r="G30" s="136" t="s">
        <v>282</v>
      </c>
      <c r="H30" s="138" t="s">
        <v>283</v>
      </c>
      <c r="I30" s="136" t="s">
        <v>60</v>
      </c>
      <c r="J30" s="136" t="s">
        <v>61</v>
      </c>
      <c r="K30" s="139" t="s">
        <v>284</v>
      </c>
      <c r="L30" s="139" t="s">
        <v>285</v>
      </c>
      <c r="M30" s="139" t="s">
        <v>103</v>
      </c>
      <c r="N30" s="139" t="s">
        <v>76</v>
      </c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</row>
    <row r="31" ht="22.5" customHeight="1" spans="1:34">
      <c r="A31" s="130">
        <v>28</v>
      </c>
      <c r="B31" s="131" t="s">
        <v>54</v>
      </c>
      <c r="C31" s="132" t="s">
        <v>286</v>
      </c>
      <c r="D31" s="131" t="s">
        <v>287</v>
      </c>
      <c r="E31" s="131" t="s">
        <v>288</v>
      </c>
      <c r="F31" s="131" t="s">
        <v>289</v>
      </c>
      <c r="G31" s="131" t="s">
        <v>290</v>
      </c>
      <c r="H31" s="133" t="s">
        <v>291</v>
      </c>
      <c r="I31" s="131" t="s">
        <v>60</v>
      </c>
      <c r="J31" s="131" t="s">
        <v>61</v>
      </c>
      <c r="K31" s="134" t="s">
        <v>292</v>
      </c>
      <c r="L31" s="134" t="s">
        <v>293</v>
      </c>
      <c r="M31" s="134" t="s">
        <v>163</v>
      </c>
      <c r="N31" s="134" t="s">
        <v>76</v>
      </c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</row>
    <row r="32" ht="22.5" customHeight="1" spans="1:34">
      <c r="A32" s="135">
        <v>29</v>
      </c>
      <c r="B32" s="136" t="s">
        <v>54</v>
      </c>
      <c r="C32" s="137" t="s">
        <v>294</v>
      </c>
      <c r="D32" s="136" t="s">
        <v>295</v>
      </c>
      <c r="E32" s="136" t="s">
        <v>296</v>
      </c>
      <c r="F32" s="136" t="s">
        <v>297</v>
      </c>
      <c r="G32" s="136" t="s">
        <v>298</v>
      </c>
      <c r="H32" s="138" t="s">
        <v>299</v>
      </c>
      <c r="I32" s="136" t="s">
        <v>60</v>
      </c>
      <c r="J32" s="136" t="s">
        <v>61</v>
      </c>
      <c r="K32" s="139" t="s">
        <v>300</v>
      </c>
      <c r="L32" s="139" t="s">
        <v>301</v>
      </c>
      <c r="M32" s="139" t="s">
        <v>85</v>
      </c>
      <c r="N32" s="139" t="s">
        <v>76</v>
      </c>
      <c r="O32" s="139"/>
      <c r="P32" s="139" t="s">
        <v>65</v>
      </c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</row>
    <row r="33" ht="22.5" customHeight="1" spans="1:34">
      <c r="A33" s="130">
        <v>30</v>
      </c>
      <c r="B33" s="131" t="s">
        <v>54</v>
      </c>
      <c r="C33" s="132" t="s">
        <v>302</v>
      </c>
      <c r="D33" s="131" t="s">
        <v>303</v>
      </c>
      <c r="E33" s="131" t="s">
        <v>304</v>
      </c>
      <c r="F33" s="131" t="s">
        <v>305</v>
      </c>
      <c r="G33" s="131" t="s">
        <v>306</v>
      </c>
      <c r="H33" s="133" t="s">
        <v>307</v>
      </c>
      <c r="I33" s="131" t="s">
        <v>60</v>
      </c>
      <c r="J33" s="131" t="s">
        <v>61</v>
      </c>
      <c r="K33" s="134" t="s">
        <v>284</v>
      </c>
      <c r="L33" s="134" t="s">
        <v>308</v>
      </c>
      <c r="M33" s="134" t="s">
        <v>103</v>
      </c>
      <c r="N33" s="134" t="s">
        <v>76</v>
      </c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</row>
    <row r="34" ht="22.5" customHeight="1" spans="1:34">
      <c r="A34" s="135">
        <v>31</v>
      </c>
      <c r="B34" s="136" t="s">
        <v>54</v>
      </c>
      <c r="C34" s="137" t="s">
        <v>309</v>
      </c>
      <c r="D34" s="136" t="s">
        <v>310</v>
      </c>
      <c r="E34" s="136" t="s">
        <v>311</v>
      </c>
      <c r="F34" s="136" t="s">
        <v>312</v>
      </c>
      <c r="G34" s="136" t="s">
        <v>313</v>
      </c>
      <c r="H34" s="138" t="s">
        <v>314</v>
      </c>
      <c r="I34" s="136" t="s">
        <v>136</v>
      </c>
      <c r="J34" s="136" t="s">
        <v>61</v>
      </c>
      <c r="K34" s="139" t="s">
        <v>315</v>
      </c>
      <c r="L34" s="139" t="s">
        <v>316</v>
      </c>
      <c r="M34" s="139" t="s">
        <v>317</v>
      </c>
      <c r="N34" s="139" t="s">
        <v>76</v>
      </c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</row>
    <row r="35" ht="22.5" customHeight="1" spans="1:34">
      <c r="A35" s="130">
        <v>32</v>
      </c>
      <c r="B35" s="131" t="s">
        <v>54</v>
      </c>
      <c r="C35" s="132" t="s">
        <v>318</v>
      </c>
      <c r="D35" s="131" t="s">
        <v>319</v>
      </c>
      <c r="E35" s="131" t="s">
        <v>320</v>
      </c>
      <c r="F35" s="131" t="s">
        <v>321</v>
      </c>
      <c r="G35" s="131" t="s">
        <v>322</v>
      </c>
      <c r="H35" s="133" t="s">
        <v>323</v>
      </c>
      <c r="I35" s="131" t="s">
        <v>136</v>
      </c>
      <c r="J35" s="131" t="s">
        <v>61</v>
      </c>
      <c r="K35" s="134" t="s">
        <v>324</v>
      </c>
      <c r="L35" s="134" t="s">
        <v>253</v>
      </c>
      <c r="M35" s="134" t="s">
        <v>325</v>
      </c>
      <c r="N35" s="134" t="s">
        <v>76</v>
      </c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</row>
    <row r="36" ht="22.5" customHeight="1" spans="1:34">
      <c r="A36" s="135">
        <v>33</v>
      </c>
      <c r="B36" s="136" t="s">
        <v>54</v>
      </c>
      <c r="C36" s="137" t="s">
        <v>326</v>
      </c>
      <c r="D36" s="136" t="s">
        <v>327</v>
      </c>
      <c r="E36" s="136" t="s">
        <v>328</v>
      </c>
      <c r="F36" s="136" t="s">
        <v>329</v>
      </c>
      <c r="G36" s="136" t="s">
        <v>330</v>
      </c>
      <c r="H36" s="138" t="s">
        <v>331</v>
      </c>
      <c r="I36" s="136" t="s">
        <v>136</v>
      </c>
      <c r="J36" s="136" t="s">
        <v>61</v>
      </c>
      <c r="K36" s="139" t="s">
        <v>332</v>
      </c>
      <c r="L36" s="139" t="s">
        <v>333</v>
      </c>
      <c r="M36" s="139" t="s">
        <v>334</v>
      </c>
      <c r="N36" s="139" t="s">
        <v>76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</row>
    <row r="37" ht="22.5" customHeight="1" spans="1:34">
      <c r="A37" s="130">
        <v>34</v>
      </c>
      <c r="B37" s="131" t="s">
        <v>54</v>
      </c>
      <c r="C37" s="132" t="s">
        <v>335</v>
      </c>
      <c r="D37" s="131" t="s">
        <v>336</v>
      </c>
      <c r="E37" s="131" t="s">
        <v>337</v>
      </c>
      <c r="F37" s="131" t="s">
        <v>338</v>
      </c>
      <c r="G37" s="131" t="s">
        <v>339</v>
      </c>
      <c r="H37" s="133" t="s">
        <v>340</v>
      </c>
      <c r="I37" s="131" t="s">
        <v>60</v>
      </c>
      <c r="J37" s="131" t="s">
        <v>61</v>
      </c>
      <c r="K37" s="134" t="s">
        <v>62</v>
      </c>
      <c r="L37" s="134" t="s">
        <v>341</v>
      </c>
      <c r="M37" s="134" t="s">
        <v>64</v>
      </c>
      <c r="N37" s="134" t="s">
        <v>342</v>
      </c>
      <c r="O37" s="134"/>
      <c r="P37" s="134" t="s">
        <v>65</v>
      </c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</row>
    <row r="38" ht="22.5" customHeight="1" spans="1:34">
      <c r="A38" s="135">
        <v>35</v>
      </c>
      <c r="B38" s="136" t="s">
        <v>54</v>
      </c>
      <c r="C38" s="137" t="s">
        <v>343</v>
      </c>
      <c r="D38" s="136" t="s">
        <v>344</v>
      </c>
      <c r="E38" s="136" t="s">
        <v>345</v>
      </c>
      <c r="F38" s="136" t="s">
        <v>346</v>
      </c>
      <c r="G38" s="136" t="s">
        <v>347</v>
      </c>
      <c r="H38" s="138" t="s">
        <v>348</v>
      </c>
      <c r="I38" s="136" t="s">
        <v>136</v>
      </c>
      <c r="J38" s="136" t="s">
        <v>92</v>
      </c>
      <c r="K38" s="139" t="s">
        <v>349</v>
      </c>
      <c r="L38" s="139" t="s">
        <v>74</v>
      </c>
      <c r="M38" s="139" t="s">
        <v>103</v>
      </c>
      <c r="N38" s="139" t="s">
        <v>76</v>
      </c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</row>
    <row r="39" ht="22.5" customHeight="1" spans="1:34">
      <c r="A39" s="130">
        <v>36</v>
      </c>
      <c r="B39" s="131" t="s">
        <v>350</v>
      </c>
      <c r="C39" s="132" t="s">
        <v>351</v>
      </c>
      <c r="D39" s="131" t="s">
        <v>352</v>
      </c>
      <c r="E39" s="131" t="s">
        <v>353</v>
      </c>
      <c r="F39" s="131" t="s">
        <v>354</v>
      </c>
      <c r="G39" s="131" t="s">
        <v>355</v>
      </c>
      <c r="H39" s="133" t="s">
        <v>356</v>
      </c>
      <c r="I39" s="131" t="s">
        <v>60</v>
      </c>
      <c r="J39" s="131" t="s">
        <v>61</v>
      </c>
      <c r="K39" s="134" t="s">
        <v>357</v>
      </c>
      <c r="L39" s="134" t="s">
        <v>358</v>
      </c>
      <c r="M39" s="134" t="s">
        <v>359</v>
      </c>
      <c r="N39" s="134" t="s">
        <v>76</v>
      </c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</row>
    <row r="40" ht="22.5" customHeight="1" spans="1:34">
      <c r="A40" s="135">
        <v>37</v>
      </c>
      <c r="B40" s="136" t="s">
        <v>350</v>
      </c>
      <c r="C40" s="137" t="s">
        <v>360</v>
      </c>
      <c r="D40" s="136" t="s">
        <v>361</v>
      </c>
      <c r="E40" s="136" t="s">
        <v>362</v>
      </c>
      <c r="F40" s="136" t="s">
        <v>363</v>
      </c>
      <c r="G40" s="136" t="s">
        <v>364</v>
      </c>
      <c r="H40" s="138" t="s">
        <v>365</v>
      </c>
      <c r="I40" s="136" t="s">
        <v>60</v>
      </c>
      <c r="J40" s="136" t="s">
        <v>61</v>
      </c>
      <c r="K40" s="139" t="s">
        <v>366</v>
      </c>
      <c r="L40" s="139" t="s">
        <v>367</v>
      </c>
      <c r="M40" s="139" t="s">
        <v>342</v>
      </c>
      <c r="N40" s="139" t="s">
        <v>342</v>
      </c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</row>
    <row r="41" ht="22.5" customHeight="1" spans="1:34">
      <c r="A41" s="130">
        <v>38</v>
      </c>
      <c r="B41" s="131" t="s">
        <v>350</v>
      </c>
      <c r="C41" s="132" t="s">
        <v>368</v>
      </c>
      <c r="D41" s="131" t="s">
        <v>369</v>
      </c>
      <c r="E41" s="131" t="s">
        <v>370</v>
      </c>
      <c r="F41" s="131" t="s">
        <v>371</v>
      </c>
      <c r="G41" s="131" t="s">
        <v>372</v>
      </c>
      <c r="H41" s="133" t="s">
        <v>373</v>
      </c>
      <c r="I41" s="131" t="s">
        <v>60</v>
      </c>
      <c r="J41" s="131" t="s">
        <v>61</v>
      </c>
      <c r="K41" s="134" t="s">
        <v>374</v>
      </c>
      <c r="L41" s="134" t="s">
        <v>375</v>
      </c>
      <c r="M41" s="134" t="s">
        <v>376</v>
      </c>
      <c r="N41" s="134" t="s">
        <v>76</v>
      </c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</row>
    <row r="42" ht="22.5" customHeight="1" spans="1:34">
      <c r="A42" s="135">
        <v>39</v>
      </c>
      <c r="B42" s="136" t="s">
        <v>350</v>
      </c>
      <c r="C42" s="137" t="s">
        <v>377</v>
      </c>
      <c r="D42" s="136" t="s">
        <v>378</v>
      </c>
      <c r="E42" s="136" t="s">
        <v>379</v>
      </c>
      <c r="F42" s="136" t="s">
        <v>380</v>
      </c>
      <c r="G42" s="136" t="s">
        <v>381</v>
      </c>
      <c r="H42" s="138" t="s">
        <v>382</v>
      </c>
      <c r="I42" s="136" t="s">
        <v>60</v>
      </c>
      <c r="J42" s="136" t="s">
        <v>61</v>
      </c>
      <c r="K42" s="139" t="s">
        <v>383</v>
      </c>
      <c r="L42" s="139" t="s">
        <v>384</v>
      </c>
      <c r="M42" s="139" t="s">
        <v>342</v>
      </c>
      <c r="N42" s="139" t="s">
        <v>342</v>
      </c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</row>
    <row r="43" ht="22.5" customHeight="1" spans="1:34">
      <c r="A43" s="130">
        <v>40</v>
      </c>
      <c r="B43" s="131" t="s">
        <v>350</v>
      </c>
      <c r="C43" s="132" t="s">
        <v>385</v>
      </c>
      <c r="D43" s="131" t="s">
        <v>386</v>
      </c>
      <c r="E43" s="131" t="s">
        <v>387</v>
      </c>
      <c r="F43" s="131" t="s">
        <v>388</v>
      </c>
      <c r="G43" s="131" t="s">
        <v>389</v>
      </c>
      <c r="H43" s="133" t="s">
        <v>390</v>
      </c>
      <c r="I43" s="131" t="s">
        <v>60</v>
      </c>
      <c r="J43" s="131" t="s">
        <v>61</v>
      </c>
      <c r="K43" s="134" t="s">
        <v>391</v>
      </c>
      <c r="L43" s="134" t="s">
        <v>392</v>
      </c>
      <c r="M43" s="134" t="s">
        <v>393</v>
      </c>
      <c r="N43" s="134" t="s">
        <v>76</v>
      </c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</row>
    <row r="44" ht="22.5" customHeight="1" spans="1:34">
      <c r="A44" s="135">
        <v>41</v>
      </c>
      <c r="B44" s="136" t="s">
        <v>350</v>
      </c>
      <c r="C44" s="137" t="s">
        <v>394</v>
      </c>
      <c r="D44" s="136" t="s">
        <v>395</v>
      </c>
      <c r="E44" s="136" t="s">
        <v>396</v>
      </c>
      <c r="F44" s="136" t="s">
        <v>397</v>
      </c>
      <c r="G44" s="136" t="s">
        <v>398</v>
      </c>
      <c r="H44" s="138" t="s">
        <v>399</v>
      </c>
      <c r="I44" s="136" t="s">
        <v>60</v>
      </c>
      <c r="J44" s="136" t="s">
        <v>61</v>
      </c>
      <c r="K44" s="139" t="s">
        <v>400</v>
      </c>
      <c r="L44" s="139" t="s">
        <v>375</v>
      </c>
      <c r="M44" s="139" t="s">
        <v>401</v>
      </c>
      <c r="N44" s="139" t="s">
        <v>76</v>
      </c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</row>
    <row r="45" ht="22.5" customHeight="1" spans="1:34">
      <c r="A45" s="130">
        <v>42</v>
      </c>
      <c r="B45" s="131" t="s">
        <v>350</v>
      </c>
      <c r="C45" s="132" t="s">
        <v>402</v>
      </c>
      <c r="D45" s="131" t="s">
        <v>403</v>
      </c>
      <c r="E45" s="131" t="s">
        <v>404</v>
      </c>
      <c r="F45" s="131" t="s">
        <v>405</v>
      </c>
      <c r="G45" s="131" t="s">
        <v>406</v>
      </c>
      <c r="H45" s="133" t="s">
        <v>407</v>
      </c>
      <c r="I45" s="131" t="s">
        <v>60</v>
      </c>
      <c r="J45" s="131" t="s">
        <v>92</v>
      </c>
      <c r="K45" s="134" t="s">
        <v>408</v>
      </c>
      <c r="L45" s="134" t="s">
        <v>409</v>
      </c>
      <c r="M45" s="134" t="s">
        <v>410</v>
      </c>
      <c r="N45" s="134" t="s">
        <v>76</v>
      </c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</row>
    <row r="46" ht="22.5" customHeight="1" spans="1:34">
      <c r="A46" s="135">
        <v>43</v>
      </c>
      <c r="B46" s="136" t="s">
        <v>350</v>
      </c>
      <c r="C46" s="137" t="s">
        <v>411</v>
      </c>
      <c r="D46" s="136" t="s">
        <v>412</v>
      </c>
      <c r="E46" s="136" t="s">
        <v>413</v>
      </c>
      <c r="F46" s="136" t="s">
        <v>414</v>
      </c>
      <c r="G46" s="136" t="s">
        <v>415</v>
      </c>
      <c r="H46" s="138" t="s">
        <v>416</v>
      </c>
      <c r="I46" s="136" t="s">
        <v>60</v>
      </c>
      <c r="J46" s="136" t="s">
        <v>61</v>
      </c>
      <c r="K46" s="139" t="s">
        <v>417</v>
      </c>
      <c r="L46" s="139" t="s">
        <v>418</v>
      </c>
      <c r="M46" s="139" t="s">
        <v>419</v>
      </c>
      <c r="N46" s="139" t="s">
        <v>76</v>
      </c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</row>
    <row r="47" ht="22.5" customHeight="1" spans="1:34">
      <c r="A47" s="130">
        <v>44</v>
      </c>
      <c r="B47" s="131" t="s">
        <v>350</v>
      </c>
      <c r="C47" s="132" t="s">
        <v>420</v>
      </c>
      <c r="D47" s="131" t="s">
        <v>421</v>
      </c>
      <c r="E47" s="131" t="s">
        <v>422</v>
      </c>
      <c r="F47" s="131" t="s">
        <v>423</v>
      </c>
      <c r="G47" s="131" t="s">
        <v>424</v>
      </c>
      <c r="H47" s="133" t="s">
        <v>425</v>
      </c>
      <c r="I47" s="131" t="s">
        <v>60</v>
      </c>
      <c r="J47" s="131" t="s">
        <v>61</v>
      </c>
      <c r="K47" s="134" t="s">
        <v>426</v>
      </c>
      <c r="L47" s="134" t="s">
        <v>427</v>
      </c>
      <c r="M47" s="134" t="s">
        <v>428</v>
      </c>
      <c r="N47" s="134" t="s">
        <v>76</v>
      </c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</row>
    <row r="48" ht="22.5" customHeight="1" spans="1:34">
      <c r="A48" s="135">
        <v>45</v>
      </c>
      <c r="B48" s="136" t="s">
        <v>350</v>
      </c>
      <c r="C48" s="137" t="s">
        <v>429</v>
      </c>
      <c r="D48" s="136" t="s">
        <v>430</v>
      </c>
      <c r="E48" s="136" t="s">
        <v>431</v>
      </c>
      <c r="F48" s="136" t="s">
        <v>432</v>
      </c>
      <c r="G48" s="136" t="s">
        <v>433</v>
      </c>
      <c r="H48" s="138" t="s">
        <v>434</v>
      </c>
      <c r="I48" s="136" t="s">
        <v>60</v>
      </c>
      <c r="J48" s="136" t="s">
        <v>61</v>
      </c>
      <c r="K48" s="139" t="s">
        <v>435</v>
      </c>
      <c r="L48" s="139" t="s">
        <v>436</v>
      </c>
      <c r="M48" s="139" t="s">
        <v>342</v>
      </c>
      <c r="N48" s="139" t="s">
        <v>342</v>
      </c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</row>
    <row r="49" ht="22.5" customHeight="1" spans="1:34">
      <c r="A49" s="130">
        <v>46</v>
      </c>
      <c r="B49" s="131" t="s">
        <v>350</v>
      </c>
      <c r="C49" s="132" t="s">
        <v>437</v>
      </c>
      <c r="D49" s="131" t="s">
        <v>438</v>
      </c>
      <c r="E49" s="131" t="s">
        <v>439</v>
      </c>
      <c r="F49" s="131" t="s">
        <v>440</v>
      </c>
      <c r="G49" s="131" t="s">
        <v>441</v>
      </c>
      <c r="H49" s="133" t="s">
        <v>442</v>
      </c>
      <c r="I49" s="131" t="s">
        <v>60</v>
      </c>
      <c r="J49" s="131" t="s">
        <v>61</v>
      </c>
      <c r="K49" s="134" t="s">
        <v>443</v>
      </c>
      <c r="L49" s="134" t="s">
        <v>444</v>
      </c>
      <c r="M49" s="134" t="s">
        <v>445</v>
      </c>
      <c r="N49" s="134" t="s">
        <v>76</v>
      </c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</row>
    <row r="50" ht="22.5" customHeight="1" spans="1:34">
      <c r="A50" s="135">
        <v>47</v>
      </c>
      <c r="B50" s="136" t="s">
        <v>350</v>
      </c>
      <c r="C50" s="137" t="s">
        <v>446</v>
      </c>
      <c r="D50" s="136" t="s">
        <v>447</v>
      </c>
      <c r="E50" s="136" t="s">
        <v>448</v>
      </c>
      <c r="F50" s="136" t="s">
        <v>449</v>
      </c>
      <c r="G50" s="136" t="s">
        <v>450</v>
      </c>
      <c r="H50" s="138" t="s">
        <v>451</v>
      </c>
      <c r="I50" s="136" t="s">
        <v>60</v>
      </c>
      <c r="J50" s="136" t="s">
        <v>61</v>
      </c>
      <c r="K50" s="139" t="s">
        <v>452</v>
      </c>
      <c r="L50" s="139" t="s">
        <v>453</v>
      </c>
      <c r="M50" s="139" t="s">
        <v>359</v>
      </c>
      <c r="N50" s="139" t="s">
        <v>76</v>
      </c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</row>
    <row r="51" ht="22.5" customHeight="1" spans="1:34">
      <c r="A51" s="130">
        <v>48</v>
      </c>
      <c r="B51" s="131" t="s">
        <v>350</v>
      </c>
      <c r="C51" s="132" t="s">
        <v>454</v>
      </c>
      <c r="D51" s="131" t="s">
        <v>455</v>
      </c>
      <c r="E51" s="131" t="s">
        <v>456</v>
      </c>
      <c r="F51" s="131" t="s">
        <v>457</v>
      </c>
      <c r="G51" s="131" t="s">
        <v>458</v>
      </c>
      <c r="H51" s="133" t="s">
        <v>459</v>
      </c>
      <c r="I51" s="131" t="s">
        <v>60</v>
      </c>
      <c r="J51" s="131" t="s">
        <v>61</v>
      </c>
      <c r="K51" s="134" t="s">
        <v>460</v>
      </c>
      <c r="L51" s="134" t="s">
        <v>461</v>
      </c>
      <c r="M51" s="134" t="s">
        <v>342</v>
      </c>
      <c r="N51" s="134" t="s">
        <v>342</v>
      </c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</row>
    <row r="52" ht="22.5" customHeight="1" spans="1:34">
      <c r="A52" s="135">
        <v>49</v>
      </c>
      <c r="B52" s="136" t="s">
        <v>350</v>
      </c>
      <c r="C52" s="137" t="s">
        <v>462</v>
      </c>
      <c r="D52" s="136" t="s">
        <v>463</v>
      </c>
      <c r="E52" s="136" t="s">
        <v>464</v>
      </c>
      <c r="F52" s="136" t="s">
        <v>465</v>
      </c>
      <c r="G52" s="136" t="s">
        <v>466</v>
      </c>
      <c r="H52" s="138" t="s">
        <v>467</v>
      </c>
      <c r="I52" s="136" t="s">
        <v>60</v>
      </c>
      <c r="J52" s="136" t="s">
        <v>61</v>
      </c>
      <c r="K52" s="139" t="s">
        <v>468</v>
      </c>
      <c r="L52" s="139" t="s">
        <v>469</v>
      </c>
      <c r="M52" s="139" t="s">
        <v>359</v>
      </c>
      <c r="N52" s="139" t="s">
        <v>76</v>
      </c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</row>
    <row r="53" ht="22.5" customHeight="1" spans="1:34">
      <c r="A53" s="130">
        <v>50</v>
      </c>
      <c r="B53" s="131" t="s">
        <v>350</v>
      </c>
      <c r="C53" s="132" t="s">
        <v>470</v>
      </c>
      <c r="D53" s="131" t="s">
        <v>471</v>
      </c>
      <c r="E53" s="131" t="s">
        <v>472</v>
      </c>
      <c r="F53" s="131" t="s">
        <v>473</v>
      </c>
      <c r="G53" s="131" t="s">
        <v>474</v>
      </c>
      <c r="H53" s="133" t="s">
        <v>475</v>
      </c>
      <c r="I53" s="131" t="s">
        <v>60</v>
      </c>
      <c r="J53" s="131" t="s">
        <v>61</v>
      </c>
      <c r="K53" s="134" t="s">
        <v>476</v>
      </c>
      <c r="L53" s="134" t="s">
        <v>477</v>
      </c>
      <c r="M53" s="134" t="s">
        <v>419</v>
      </c>
      <c r="N53" s="134" t="s">
        <v>76</v>
      </c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</row>
    <row r="54" ht="22.5" customHeight="1" spans="1:34">
      <c r="A54" s="135">
        <v>51</v>
      </c>
      <c r="B54" s="136" t="s">
        <v>350</v>
      </c>
      <c r="C54" s="137" t="s">
        <v>478</v>
      </c>
      <c r="D54" s="136" t="s">
        <v>479</v>
      </c>
      <c r="E54" s="136" t="s">
        <v>480</v>
      </c>
      <c r="F54" s="136" t="s">
        <v>481</v>
      </c>
      <c r="G54" s="136" t="s">
        <v>482</v>
      </c>
      <c r="H54" s="138" t="s">
        <v>483</v>
      </c>
      <c r="I54" s="136" t="s">
        <v>60</v>
      </c>
      <c r="J54" s="136" t="s">
        <v>61</v>
      </c>
      <c r="K54" s="139" t="s">
        <v>484</v>
      </c>
      <c r="L54" s="139" t="s">
        <v>485</v>
      </c>
      <c r="M54" s="139" t="s">
        <v>342</v>
      </c>
      <c r="N54" s="139" t="s">
        <v>342</v>
      </c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</row>
    <row r="55" ht="22.5" customHeight="1" spans="1:34">
      <c r="A55" s="130">
        <v>52</v>
      </c>
      <c r="B55" s="131" t="s">
        <v>350</v>
      </c>
      <c r="C55" s="132" t="s">
        <v>486</v>
      </c>
      <c r="D55" s="131" t="s">
        <v>487</v>
      </c>
      <c r="E55" s="131" t="s">
        <v>488</v>
      </c>
      <c r="F55" s="131" t="s">
        <v>489</v>
      </c>
      <c r="G55" s="131" t="s">
        <v>490</v>
      </c>
      <c r="H55" s="133" t="s">
        <v>491</v>
      </c>
      <c r="I55" s="131" t="s">
        <v>60</v>
      </c>
      <c r="J55" s="131" t="s">
        <v>61</v>
      </c>
      <c r="K55" s="134" t="s">
        <v>492</v>
      </c>
      <c r="L55" s="134" t="s">
        <v>493</v>
      </c>
      <c r="M55" s="134" t="s">
        <v>359</v>
      </c>
      <c r="N55" s="134" t="s">
        <v>76</v>
      </c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</row>
    <row r="56" ht="22.5" customHeight="1" spans="1:34">
      <c r="A56" s="135">
        <v>53</v>
      </c>
      <c r="B56" s="136" t="s">
        <v>350</v>
      </c>
      <c r="C56" s="137" t="s">
        <v>494</v>
      </c>
      <c r="D56" s="136" t="s">
        <v>495</v>
      </c>
      <c r="E56" s="136" t="s">
        <v>496</v>
      </c>
      <c r="F56" s="136" t="s">
        <v>497</v>
      </c>
      <c r="G56" s="136" t="s">
        <v>498</v>
      </c>
      <c r="H56" s="138" t="s">
        <v>499</v>
      </c>
      <c r="I56" s="136" t="s">
        <v>60</v>
      </c>
      <c r="J56" s="136" t="s">
        <v>61</v>
      </c>
      <c r="K56" s="139" t="s">
        <v>500</v>
      </c>
      <c r="L56" s="139" t="s">
        <v>501</v>
      </c>
      <c r="M56" s="139" t="s">
        <v>502</v>
      </c>
      <c r="N56" s="139" t="s">
        <v>76</v>
      </c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</row>
    <row r="57" ht="22.5" customHeight="1" spans="1:34">
      <c r="A57" s="130">
        <v>54</v>
      </c>
      <c r="B57" s="131" t="s">
        <v>350</v>
      </c>
      <c r="C57" s="132" t="s">
        <v>503</v>
      </c>
      <c r="D57" s="131" t="s">
        <v>504</v>
      </c>
      <c r="E57" s="131" t="s">
        <v>505</v>
      </c>
      <c r="F57" s="131" t="s">
        <v>506</v>
      </c>
      <c r="G57" s="131" t="s">
        <v>507</v>
      </c>
      <c r="H57" s="133" t="s">
        <v>508</v>
      </c>
      <c r="I57" s="131" t="s">
        <v>60</v>
      </c>
      <c r="J57" s="131" t="s">
        <v>92</v>
      </c>
      <c r="K57" s="134" t="s">
        <v>509</v>
      </c>
      <c r="L57" s="134" t="s">
        <v>510</v>
      </c>
      <c r="M57" s="134" t="s">
        <v>376</v>
      </c>
      <c r="N57" s="134" t="s">
        <v>76</v>
      </c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</row>
    <row r="58" ht="22.5" customHeight="1" spans="1:34">
      <c r="A58" s="135">
        <v>55</v>
      </c>
      <c r="B58" s="136" t="s">
        <v>350</v>
      </c>
      <c r="C58" s="137" t="s">
        <v>511</v>
      </c>
      <c r="D58" s="136" t="s">
        <v>512</v>
      </c>
      <c r="E58" s="136" t="s">
        <v>513</v>
      </c>
      <c r="F58" s="136" t="s">
        <v>514</v>
      </c>
      <c r="G58" s="136" t="s">
        <v>515</v>
      </c>
      <c r="H58" s="138" t="s">
        <v>516</v>
      </c>
      <c r="I58" s="136" t="s">
        <v>60</v>
      </c>
      <c r="J58" s="136" t="s">
        <v>61</v>
      </c>
      <c r="K58" s="139" t="s">
        <v>517</v>
      </c>
      <c r="L58" s="139" t="s">
        <v>84</v>
      </c>
      <c r="M58" s="139" t="s">
        <v>359</v>
      </c>
      <c r="N58" s="139" t="s">
        <v>76</v>
      </c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</row>
    <row r="59" ht="22.5" customHeight="1" spans="1:34">
      <c r="A59" s="130">
        <v>56</v>
      </c>
      <c r="B59" s="131" t="s">
        <v>350</v>
      </c>
      <c r="C59" s="132" t="s">
        <v>518</v>
      </c>
      <c r="D59" s="131" t="s">
        <v>519</v>
      </c>
      <c r="E59" s="131" t="s">
        <v>520</v>
      </c>
      <c r="F59" s="131" t="s">
        <v>521</v>
      </c>
      <c r="G59" s="131" t="s">
        <v>522</v>
      </c>
      <c r="H59" s="133" t="s">
        <v>523</v>
      </c>
      <c r="I59" s="131" t="s">
        <v>60</v>
      </c>
      <c r="J59" s="131" t="s">
        <v>61</v>
      </c>
      <c r="K59" s="134" t="s">
        <v>524</v>
      </c>
      <c r="L59" s="134" t="s">
        <v>525</v>
      </c>
      <c r="M59" s="134" t="s">
        <v>342</v>
      </c>
      <c r="N59" s="134" t="s">
        <v>76</v>
      </c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</row>
    <row r="60" ht="22.5" customHeight="1" spans="1:34">
      <c r="A60" s="135">
        <v>57</v>
      </c>
      <c r="B60" s="136" t="s">
        <v>350</v>
      </c>
      <c r="C60" s="137" t="s">
        <v>526</v>
      </c>
      <c r="D60" s="136" t="s">
        <v>527</v>
      </c>
      <c r="E60" s="136" t="s">
        <v>528</v>
      </c>
      <c r="F60" s="136" t="s">
        <v>529</v>
      </c>
      <c r="G60" s="136" t="s">
        <v>530</v>
      </c>
      <c r="H60" s="138" t="s">
        <v>531</v>
      </c>
      <c r="I60" s="136" t="s">
        <v>60</v>
      </c>
      <c r="J60" s="136" t="s">
        <v>61</v>
      </c>
      <c r="K60" s="139" t="s">
        <v>532</v>
      </c>
      <c r="L60" s="139" t="s">
        <v>533</v>
      </c>
      <c r="M60" s="139" t="s">
        <v>359</v>
      </c>
      <c r="N60" s="139" t="s">
        <v>76</v>
      </c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</row>
    <row r="61" ht="22.5" customHeight="1" spans="1:34">
      <c r="A61" s="130">
        <v>58</v>
      </c>
      <c r="B61" s="131" t="s">
        <v>350</v>
      </c>
      <c r="C61" s="132" t="s">
        <v>534</v>
      </c>
      <c r="D61" s="131" t="s">
        <v>535</v>
      </c>
      <c r="E61" s="131" t="s">
        <v>536</v>
      </c>
      <c r="F61" s="131" t="s">
        <v>537</v>
      </c>
      <c r="G61" s="131" t="s">
        <v>538</v>
      </c>
      <c r="H61" s="133" t="s">
        <v>539</v>
      </c>
      <c r="I61" s="131" t="s">
        <v>60</v>
      </c>
      <c r="J61" s="131" t="s">
        <v>61</v>
      </c>
      <c r="K61" s="134" t="s">
        <v>540</v>
      </c>
      <c r="L61" s="134" t="s">
        <v>541</v>
      </c>
      <c r="M61" s="134" t="s">
        <v>359</v>
      </c>
      <c r="N61" s="134" t="s">
        <v>76</v>
      </c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</row>
    <row r="62" ht="22.5" customHeight="1" spans="1:34">
      <c r="A62" s="135">
        <v>59</v>
      </c>
      <c r="B62" s="136" t="s">
        <v>350</v>
      </c>
      <c r="C62" s="137" t="s">
        <v>542</v>
      </c>
      <c r="D62" s="136" t="s">
        <v>543</v>
      </c>
      <c r="E62" s="136" t="s">
        <v>544</v>
      </c>
      <c r="F62" s="136" t="s">
        <v>545</v>
      </c>
      <c r="G62" s="136" t="s">
        <v>546</v>
      </c>
      <c r="H62" s="138" t="s">
        <v>547</v>
      </c>
      <c r="I62" s="136" t="s">
        <v>60</v>
      </c>
      <c r="J62" s="136" t="s">
        <v>61</v>
      </c>
      <c r="K62" s="139" t="s">
        <v>548</v>
      </c>
      <c r="L62" s="139" t="s">
        <v>549</v>
      </c>
      <c r="M62" s="139" t="s">
        <v>550</v>
      </c>
      <c r="N62" s="139" t="s">
        <v>76</v>
      </c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</row>
    <row r="63" ht="22.5" customHeight="1" spans="1:34">
      <c r="A63" s="130">
        <v>60</v>
      </c>
      <c r="B63" s="131" t="s">
        <v>350</v>
      </c>
      <c r="C63" s="132" t="s">
        <v>551</v>
      </c>
      <c r="D63" s="131" t="s">
        <v>552</v>
      </c>
      <c r="E63" s="131" t="s">
        <v>553</v>
      </c>
      <c r="F63" s="131" t="s">
        <v>554</v>
      </c>
      <c r="G63" s="131" t="s">
        <v>555</v>
      </c>
      <c r="H63" s="133" t="s">
        <v>556</v>
      </c>
      <c r="I63" s="131" t="s">
        <v>60</v>
      </c>
      <c r="J63" s="131" t="s">
        <v>61</v>
      </c>
      <c r="K63" s="134" t="s">
        <v>557</v>
      </c>
      <c r="L63" s="134" t="s">
        <v>558</v>
      </c>
      <c r="M63" s="134" t="s">
        <v>559</v>
      </c>
      <c r="N63" s="134" t="s">
        <v>76</v>
      </c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</row>
    <row r="64" ht="22.5" customHeight="1" spans="1:34">
      <c r="A64" s="135">
        <v>61</v>
      </c>
      <c r="B64" s="136" t="s">
        <v>560</v>
      </c>
      <c r="C64" s="137" t="s">
        <v>561</v>
      </c>
      <c r="D64" s="136" t="s">
        <v>562</v>
      </c>
      <c r="E64" s="136" t="s">
        <v>563</v>
      </c>
      <c r="F64" s="136" t="s">
        <v>564</v>
      </c>
      <c r="G64" s="136" t="s">
        <v>565</v>
      </c>
      <c r="H64" s="138" t="s">
        <v>566</v>
      </c>
      <c r="I64" s="136" t="s">
        <v>60</v>
      </c>
      <c r="J64" s="136" t="s">
        <v>61</v>
      </c>
      <c r="K64" s="139" t="s">
        <v>567</v>
      </c>
      <c r="L64" s="139" t="s">
        <v>568</v>
      </c>
      <c r="M64" s="139" t="s">
        <v>569</v>
      </c>
      <c r="N64" s="139" t="s">
        <v>76</v>
      </c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</row>
    <row r="65" ht="22.5" customHeight="1" spans="1:34">
      <c r="A65" s="130">
        <v>62</v>
      </c>
      <c r="B65" s="131" t="s">
        <v>560</v>
      </c>
      <c r="C65" s="132" t="s">
        <v>570</v>
      </c>
      <c r="D65" s="131" t="s">
        <v>571</v>
      </c>
      <c r="E65" s="131" t="s">
        <v>572</v>
      </c>
      <c r="F65" s="131" t="s">
        <v>573</v>
      </c>
      <c r="G65" s="131" t="s">
        <v>574</v>
      </c>
      <c r="H65" s="133" t="s">
        <v>575</v>
      </c>
      <c r="I65" s="131" t="s">
        <v>60</v>
      </c>
      <c r="J65" s="131" t="s">
        <v>92</v>
      </c>
      <c r="K65" s="134" t="s">
        <v>576</v>
      </c>
      <c r="L65" s="134" t="s">
        <v>577</v>
      </c>
      <c r="M65" s="134" t="s">
        <v>578</v>
      </c>
      <c r="N65" s="134" t="s">
        <v>579</v>
      </c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</row>
    <row r="66" ht="22.5" customHeight="1" spans="1:34">
      <c r="A66" s="135">
        <v>63</v>
      </c>
      <c r="B66" s="136" t="s">
        <v>560</v>
      </c>
      <c r="C66" s="137" t="s">
        <v>580</v>
      </c>
      <c r="D66" s="136" t="s">
        <v>581</v>
      </c>
      <c r="E66" s="136" t="s">
        <v>582</v>
      </c>
      <c r="F66" s="136" t="s">
        <v>583</v>
      </c>
      <c r="G66" s="136" t="s">
        <v>584</v>
      </c>
      <c r="H66" s="138" t="s">
        <v>585</v>
      </c>
      <c r="I66" s="136" t="s">
        <v>60</v>
      </c>
      <c r="J66" s="136" t="s">
        <v>61</v>
      </c>
      <c r="K66" s="139" t="s">
        <v>586</v>
      </c>
      <c r="L66" s="139" t="s">
        <v>587</v>
      </c>
      <c r="M66" s="139" t="s">
        <v>578</v>
      </c>
      <c r="N66" s="139" t="s">
        <v>579</v>
      </c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</row>
    <row r="67" ht="22.5" customHeight="1" spans="1:34">
      <c r="A67" s="130">
        <v>64</v>
      </c>
      <c r="B67" s="131" t="s">
        <v>560</v>
      </c>
      <c r="C67" s="132" t="s">
        <v>588</v>
      </c>
      <c r="D67" s="131" t="s">
        <v>589</v>
      </c>
      <c r="E67" s="131" t="s">
        <v>590</v>
      </c>
      <c r="F67" s="131" t="s">
        <v>591</v>
      </c>
      <c r="G67" s="131" t="s">
        <v>592</v>
      </c>
      <c r="H67" s="133" t="s">
        <v>593</v>
      </c>
      <c r="I67" s="131" t="s">
        <v>60</v>
      </c>
      <c r="J67" s="131" t="s">
        <v>61</v>
      </c>
      <c r="K67" s="134" t="s">
        <v>594</v>
      </c>
      <c r="L67" s="134" t="s">
        <v>595</v>
      </c>
      <c r="M67" s="134" t="s">
        <v>569</v>
      </c>
      <c r="N67" s="134" t="s">
        <v>579</v>
      </c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</row>
    <row r="68" ht="22.5" customHeight="1" spans="1:34">
      <c r="A68" s="135">
        <v>65</v>
      </c>
      <c r="B68" s="136" t="s">
        <v>560</v>
      </c>
      <c r="C68" s="137" t="s">
        <v>596</v>
      </c>
      <c r="D68" s="136" t="s">
        <v>597</v>
      </c>
      <c r="E68" s="136" t="s">
        <v>598</v>
      </c>
      <c r="F68" s="136" t="s">
        <v>599</v>
      </c>
      <c r="G68" s="136" t="s">
        <v>600</v>
      </c>
      <c r="H68" s="138" t="s">
        <v>601</v>
      </c>
      <c r="I68" s="136" t="s">
        <v>136</v>
      </c>
      <c r="J68" s="136" t="s">
        <v>92</v>
      </c>
      <c r="K68" s="139" t="s">
        <v>602</v>
      </c>
      <c r="L68" s="139" t="s">
        <v>603</v>
      </c>
      <c r="M68" s="139" t="s">
        <v>604</v>
      </c>
      <c r="N68" s="139" t="s">
        <v>579</v>
      </c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</row>
    <row r="69" ht="22.5" customHeight="1" spans="1:34">
      <c r="A69" s="130">
        <v>66</v>
      </c>
      <c r="B69" s="131" t="s">
        <v>560</v>
      </c>
      <c r="C69" s="132" t="s">
        <v>605</v>
      </c>
      <c r="D69" s="131" t="s">
        <v>606</v>
      </c>
      <c r="E69" s="131" t="s">
        <v>607</v>
      </c>
      <c r="F69" s="131" t="s">
        <v>608</v>
      </c>
      <c r="G69" s="131" t="s">
        <v>609</v>
      </c>
      <c r="H69" s="133" t="s">
        <v>610</v>
      </c>
      <c r="I69" s="131" t="s">
        <v>60</v>
      </c>
      <c r="J69" s="131" t="s">
        <v>61</v>
      </c>
      <c r="K69" s="134" t="s">
        <v>611</v>
      </c>
      <c r="L69" s="134" t="s">
        <v>612</v>
      </c>
      <c r="M69" s="134" t="s">
        <v>578</v>
      </c>
      <c r="N69" s="134" t="s">
        <v>579</v>
      </c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</row>
    <row r="70" ht="22.5" customHeight="1" spans="1:34">
      <c r="A70" s="135">
        <v>67</v>
      </c>
      <c r="B70" s="136" t="s">
        <v>560</v>
      </c>
      <c r="C70" s="137" t="s">
        <v>613</v>
      </c>
      <c r="D70" s="136" t="s">
        <v>614</v>
      </c>
      <c r="E70" s="136" t="s">
        <v>615</v>
      </c>
      <c r="F70" s="136" t="s">
        <v>616</v>
      </c>
      <c r="G70" s="136" t="s">
        <v>617</v>
      </c>
      <c r="H70" s="138" t="s">
        <v>618</v>
      </c>
      <c r="I70" s="136" t="s">
        <v>60</v>
      </c>
      <c r="J70" s="136" t="s">
        <v>61</v>
      </c>
      <c r="K70" s="139" t="s">
        <v>619</v>
      </c>
      <c r="L70" s="139" t="s">
        <v>620</v>
      </c>
      <c r="M70" s="139" t="s">
        <v>604</v>
      </c>
      <c r="N70" s="139" t="s">
        <v>76</v>
      </c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</row>
    <row r="71" ht="22.5" customHeight="1" spans="1:34">
      <c r="A71" s="130">
        <v>68</v>
      </c>
      <c r="B71" s="131" t="s">
        <v>560</v>
      </c>
      <c r="C71" s="132" t="s">
        <v>621</v>
      </c>
      <c r="D71" s="131" t="s">
        <v>622</v>
      </c>
      <c r="E71" s="131" t="s">
        <v>623</v>
      </c>
      <c r="F71" s="131" t="s">
        <v>624</v>
      </c>
      <c r="G71" s="131" t="s">
        <v>625</v>
      </c>
      <c r="H71" s="133" t="s">
        <v>626</v>
      </c>
      <c r="I71" s="131" t="s">
        <v>60</v>
      </c>
      <c r="J71" s="131" t="s">
        <v>61</v>
      </c>
      <c r="K71" s="134" t="s">
        <v>627</v>
      </c>
      <c r="L71" s="134" t="s">
        <v>628</v>
      </c>
      <c r="M71" s="134" t="s">
        <v>629</v>
      </c>
      <c r="N71" s="134" t="s">
        <v>76</v>
      </c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</row>
    <row r="72" ht="22.5" customHeight="1" spans="1:34">
      <c r="A72" s="135">
        <v>69</v>
      </c>
      <c r="B72" s="136" t="s">
        <v>560</v>
      </c>
      <c r="C72" s="137" t="s">
        <v>630</v>
      </c>
      <c r="D72" s="136" t="s">
        <v>631</v>
      </c>
      <c r="E72" s="136" t="s">
        <v>632</v>
      </c>
      <c r="F72" s="136" t="s">
        <v>633</v>
      </c>
      <c r="G72" s="136" t="s">
        <v>634</v>
      </c>
      <c r="H72" s="138" t="s">
        <v>635</v>
      </c>
      <c r="I72" s="136" t="s">
        <v>60</v>
      </c>
      <c r="J72" s="136" t="s">
        <v>61</v>
      </c>
      <c r="K72" s="139" t="s">
        <v>636</v>
      </c>
      <c r="L72" s="139" t="s">
        <v>637</v>
      </c>
      <c r="M72" s="139" t="s">
        <v>638</v>
      </c>
      <c r="N72" s="139" t="s">
        <v>579</v>
      </c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</row>
    <row r="73" ht="22.5" customHeight="1" spans="1:34">
      <c r="A73" s="130">
        <v>70</v>
      </c>
      <c r="B73" s="131" t="s">
        <v>560</v>
      </c>
      <c r="C73" s="132" t="s">
        <v>639</v>
      </c>
      <c r="D73" s="131" t="s">
        <v>640</v>
      </c>
      <c r="E73" s="131" t="s">
        <v>641</v>
      </c>
      <c r="F73" s="131" t="s">
        <v>642</v>
      </c>
      <c r="G73" s="131" t="s">
        <v>643</v>
      </c>
      <c r="H73" s="133" t="s">
        <v>644</v>
      </c>
      <c r="I73" s="131" t="s">
        <v>60</v>
      </c>
      <c r="J73" s="131" t="s">
        <v>61</v>
      </c>
      <c r="K73" s="134" t="s">
        <v>645</v>
      </c>
      <c r="L73" s="134" t="s">
        <v>646</v>
      </c>
      <c r="M73" s="134" t="s">
        <v>647</v>
      </c>
      <c r="N73" s="134" t="s">
        <v>76</v>
      </c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</row>
    <row r="74" ht="22.5" customHeight="1" spans="1:34">
      <c r="A74" s="135">
        <v>71</v>
      </c>
      <c r="B74" s="136" t="s">
        <v>648</v>
      </c>
      <c r="C74" s="137" t="s">
        <v>649</v>
      </c>
      <c r="D74" s="136" t="s">
        <v>650</v>
      </c>
      <c r="E74" s="136" t="s">
        <v>651</v>
      </c>
      <c r="F74" s="136" t="s">
        <v>652</v>
      </c>
      <c r="G74" s="136" t="s">
        <v>653</v>
      </c>
      <c r="H74" s="138" t="s">
        <v>654</v>
      </c>
      <c r="I74" s="136" t="s">
        <v>60</v>
      </c>
      <c r="J74" s="136" t="s">
        <v>92</v>
      </c>
      <c r="K74" s="139" t="s">
        <v>655</v>
      </c>
      <c r="L74" s="139" t="s">
        <v>656</v>
      </c>
      <c r="M74" s="139" t="s">
        <v>657</v>
      </c>
      <c r="N74" s="139" t="s">
        <v>76</v>
      </c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</row>
    <row r="75" ht="22.5" customHeight="1" spans="1:34">
      <c r="A75" s="130">
        <v>72</v>
      </c>
      <c r="B75" s="131" t="s">
        <v>648</v>
      </c>
      <c r="C75" s="132" t="s">
        <v>658</v>
      </c>
      <c r="D75" s="131" t="s">
        <v>659</v>
      </c>
      <c r="E75" s="131" t="s">
        <v>660</v>
      </c>
      <c r="F75" s="131" t="s">
        <v>661</v>
      </c>
      <c r="G75" s="131" t="s">
        <v>662</v>
      </c>
      <c r="H75" s="133" t="s">
        <v>663</v>
      </c>
      <c r="I75" s="131" t="s">
        <v>60</v>
      </c>
      <c r="J75" s="131" t="s">
        <v>61</v>
      </c>
      <c r="K75" s="134" t="s">
        <v>664</v>
      </c>
      <c r="L75" s="134" t="s">
        <v>665</v>
      </c>
      <c r="M75" s="134" t="s">
        <v>666</v>
      </c>
      <c r="N75" s="134" t="s">
        <v>76</v>
      </c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</row>
    <row r="76" ht="22.5" customHeight="1" spans="1:34">
      <c r="A76" s="135">
        <v>73</v>
      </c>
      <c r="B76" s="136" t="s">
        <v>648</v>
      </c>
      <c r="C76" s="137" t="s">
        <v>667</v>
      </c>
      <c r="D76" s="136" t="s">
        <v>668</v>
      </c>
      <c r="E76" s="136" t="s">
        <v>669</v>
      </c>
      <c r="F76" s="136" t="s">
        <v>670</v>
      </c>
      <c r="G76" s="136" t="s">
        <v>58</v>
      </c>
      <c r="H76" s="138"/>
      <c r="I76" s="136" t="s">
        <v>60</v>
      </c>
      <c r="J76" s="136" t="s">
        <v>61</v>
      </c>
      <c r="K76" s="139"/>
      <c r="L76" s="139"/>
      <c r="M76" s="139" t="s">
        <v>206</v>
      </c>
      <c r="N76" s="139" t="s">
        <v>76</v>
      </c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</row>
    <row r="77" ht="22.5" customHeight="1" spans="1:34">
      <c r="A77" s="130">
        <v>74</v>
      </c>
      <c r="B77" s="131" t="s">
        <v>648</v>
      </c>
      <c r="C77" s="132" t="s">
        <v>671</v>
      </c>
      <c r="D77" s="131" t="s">
        <v>672</v>
      </c>
      <c r="E77" s="131" t="s">
        <v>673</v>
      </c>
      <c r="F77" s="131" t="s">
        <v>674</v>
      </c>
      <c r="G77" s="131" t="s">
        <v>675</v>
      </c>
      <c r="H77" s="133" t="s">
        <v>676</v>
      </c>
      <c r="I77" s="131" t="s">
        <v>60</v>
      </c>
      <c r="J77" s="131" t="s">
        <v>61</v>
      </c>
      <c r="K77" s="134" t="s">
        <v>677</v>
      </c>
      <c r="L77" s="134" t="s">
        <v>678</v>
      </c>
      <c r="M77" s="134" t="s">
        <v>679</v>
      </c>
      <c r="N77" s="134" t="s">
        <v>76</v>
      </c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</row>
    <row r="78" ht="22.5" customHeight="1" spans="1:34">
      <c r="A78" s="135">
        <v>75</v>
      </c>
      <c r="B78" s="136" t="s">
        <v>648</v>
      </c>
      <c r="C78" s="137" t="s">
        <v>680</v>
      </c>
      <c r="D78" s="136" t="s">
        <v>681</v>
      </c>
      <c r="E78" s="136" t="s">
        <v>682</v>
      </c>
      <c r="F78" s="136" t="s">
        <v>683</v>
      </c>
      <c r="G78" s="136" t="s">
        <v>684</v>
      </c>
      <c r="H78" s="138" t="s">
        <v>685</v>
      </c>
      <c r="I78" s="136" t="s">
        <v>60</v>
      </c>
      <c r="J78" s="136" t="s">
        <v>61</v>
      </c>
      <c r="K78" s="139" t="s">
        <v>686</v>
      </c>
      <c r="L78" s="139" t="s">
        <v>687</v>
      </c>
      <c r="M78" s="139" t="s">
        <v>657</v>
      </c>
      <c r="N78" s="139" t="s">
        <v>76</v>
      </c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</row>
    <row r="79" ht="22.5" customHeight="1" spans="1:34">
      <c r="A79" s="130">
        <v>76</v>
      </c>
      <c r="B79" s="131" t="s">
        <v>648</v>
      </c>
      <c r="C79" s="132" t="s">
        <v>688</v>
      </c>
      <c r="D79" s="131" t="s">
        <v>689</v>
      </c>
      <c r="E79" s="131" t="s">
        <v>690</v>
      </c>
      <c r="F79" s="131" t="s">
        <v>691</v>
      </c>
      <c r="G79" s="131" t="s">
        <v>692</v>
      </c>
      <c r="H79" s="133" t="s">
        <v>693</v>
      </c>
      <c r="I79" s="131" t="s">
        <v>136</v>
      </c>
      <c r="J79" s="131" t="s">
        <v>61</v>
      </c>
      <c r="K79" s="134" t="s">
        <v>694</v>
      </c>
      <c r="L79" s="134" t="s">
        <v>695</v>
      </c>
      <c r="M79" s="134" t="s">
        <v>206</v>
      </c>
      <c r="N79" s="134" t="s">
        <v>76</v>
      </c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</row>
    <row r="80" ht="22.5" customHeight="1" spans="1:34">
      <c r="A80" s="135">
        <v>77</v>
      </c>
      <c r="B80" s="136" t="s">
        <v>648</v>
      </c>
      <c r="C80" s="137" t="s">
        <v>696</v>
      </c>
      <c r="D80" s="136" t="s">
        <v>697</v>
      </c>
      <c r="E80" s="136" t="s">
        <v>698</v>
      </c>
      <c r="F80" s="136" t="s">
        <v>699</v>
      </c>
      <c r="G80" s="136" t="s">
        <v>700</v>
      </c>
      <c r="H80" s="138" t="s">
        <v>701</v>
      </c>
      <c r="I80" s="136" t="s">
        <v>60</v>
      </c>
      <c r="J80" s="136" t="s">
        <v>61</v>
      </c>
      <c r="K80" s="139" t="s">
        <v>702</v>
      </c>
      <c r="L80" s="139" t="s">
        <v>703</v>
      </c>
      <c r="M80" s="139" t="s">
        <v>704</v>
      </c>
      <c r="N80" s="139" t="s">
        <v>76</v>
      </c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</row>
    <row r="81" ht="22.5" customHeight="1" spans="1:34">
      <c r="A81" s="130">
        <v>78</v>
      </c>
      <c r="B81" s="131" t="s">
        <v>648</v>
      </c>
      <c r="C81" s="132" t="s">
        <v>705</v>
      </c>
      <c r="D81" s="131" t="s">
        <v>706</v>
      </c>
      <c r="E81" s="131" t="s">
        <v>707</v>
      </c>
      <c r="F81" s="131" t="s">
        <v>708</v>
      </c>
      <c r="G81" s="131" t="s">
        <v>709</v>
      </c>
      <c r="H81" s="133" t="s">
        <v>710</v>
      </c>
      <c r="I81" s="131" t="s">
        <v>136</v>
      </c>
      <c r="J81" s="131" t="s">
        <v>61</v>
      </c>
      <c r="K81" s="134" t="s">
        <v>711</v>
      </c>
      <c r="L81" s="134" t="s">
        <v>712</v>
      </c>
      <c r="M81" s="134"/>
      <c r="N81" s="134" t="s">
        <v>76</v>
      </c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</row>
    <row r="82" ht="22.5" customHeight="1" spans="1:34">
      <c r="A82" s="135">
        <v>79</v>
      </c>
      <c r="B82" s="136" t="s">
        <v>648</v>
      </c>
      <c r="C82" s="137" t="s">
        <v>713</v>
      </c>
      <c r="D82" s="136" t="s">
        <v>714</v>
      </c>
      <c r="E82" s="136" t="s">
        <v>715</v>
      </c>
      <c r="F82" s="136" t="s">
        <v>716</v>
      </c>
      <c r="G82" s="136" t="s">
        <v>717</v>
      </c>
      <c r="H82" s="138" t="s">
        <v>718</v>
      </c>
      <c r="I82" s="136" t="s">
        <v>136</v>
      </c>
      <c r="J82" s="136" t="s">
        <v>61</v>
      </c>
      <c r="K82" s="139" t="s">
        <v>719</v>
      </c>
      <c r="L82" s="139" t="s">
        <v>720</v>
      </c>
      <c r="M82" s="139" t="s">
        <v>206</v>
      </c>
      <c r="N82" s="139" t="s">
        <v>76</v>
      </c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</row>
    <row r="83" ht="22.5" customHeight="1" spans="1:34">
      <c r="A83" s="130">
        <v>80</v>
      </c>
      <c r="B83" s="131" t="s">
        <v>648</v>
      </c>
      <c r="C83" s="132" t="s">
        <v>721</v>
      </c>
      <c r="D83" s="131" t="s">
        <v>722</v>
      </c>
      <c r="E83" s="131" t="s">
        <v>723</v>
      </c>
      <c r="F83" s="131" t="s">
        <v>724</v>
      </c>
      <c r="G83" s="131" t="s">
        <v>725</v>
      </c>
      <c r="H83" s="133" t="s">
        <v>726</v>
      </c>
      <c r="I83" s="131" t="s">
        <v>60</v>
      </c>
      <c r="J83" s="131" t="s">
        <v>61</v>
      </c>
      <c r="K83" s="134" t="s">
        <v>727</v>
      </c>
      <c r="L83" s="134" t="s">
        <v>703</v>
      </c>
      <c r="M83" s="134" t="s">
        <v>657</v>
      </c>
      <c r="N83" s="134" t="s">
        <v>76</v>
      </c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</row>
    <row r="84" ht="22.5" customHeight="1" spans="1:34">
      <c r="A84" s="135">
        <v>81</v>
      </c>
      <c r="B84" s="136" t="s">
        <v>648</v>
      </c>
      <c r="C84" s="137" t="s">
        <v>728</v>
      </c>
      <c r="D84" s="136" t="s">
        <v>729</v>
      </c>
      <c r="E84" s="136" t="s">
        <v>730</v>
      </c>
      <c r="F84" s="136" t="s">
        <v>731</v>
      </c>
      <c r="G84" s="136" t="s">
        <v>732</v>
      </c>
      <c r="H84" s="138" t="s">
        <v>733</v>
      </c>
      <c r="I84" s="136" t="s">
        <v>136</v>
      </c>
      <c r="J84" s="136" t="s">
        <v>61</v>
      </c>
      <c r="K84" s="139" t="s">
        <v>734</v>
      </c>
      <c r="L84" s="139" t="s">
        <v>735</v>
      </c>
      <c r="M84" s="139" t="s">
        <v>736</v>
      </c>
      <c r="N84" s="139" t="s">
        <v>76</v>
      </c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</row>
    <row r="85" ht="22.5" customHeight="1" spans="1:34">
      <c r="A85" s="130">
        <v>82</v>
      </c>
      <c r="B85" s="131" t="s">
        <v>648</v>
      </c>
      <c r="C85" s="132" t="s">
        <v>737</v>
      </c>
      <c r="D85" s="131" t="s">
        <v>738</v>
      </c>
      <c r="E85" s="131" t="s">
        <v>739</v>
      </c>
      <c r="F85" s="131" t="s">
        <v>740</v>
      </c>
      <c r="G85" s="131" t="s">
        <v>741</v>
      </c>
      <c r="H85" s="133" t="s">
        <v>742</v>
      </c>
      <c r="I85" s="131" t="s">
        <v>136</v>
      </c>
      <c r="J85" s="131" t="s">
        <v>61</v>
      </c>
      <c r="K85" s="134" t="s">
        <v>743</v>
      </c>
      <c r="L85" s="134" t="s">
        <v>744</v>
      </c>
      <c r="M85" s="134" t="s">
        <v>736</v>
      </c>
      <c r="N85" s="134" t="s">
        <v>76</v>
      </c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</row>
    <row r="86" ht="22.5" customHeight="1" spans="1:34">
      <c r="A86" s="135">
        <v>83</v>
      </c>
      <c r="B86" s="136" t="s">
        <v>745</v>
      </c>
      <c r="C86" s="137" t="s">
        <v>746</v>
      </c>
      <c r="D86" s="136" t="s">
        <v>747</v>
      </c>
      <c r="E86" s="136" t="s">
        <v>748</v>
      </c>
      <c r="F86" s="136" t="s">
        <v>749</v>
      </c>
      <c r="G86" s="136" t="s">
        <v>750</v>
      </c>
      <c r="H86" s="138" t="s">
        <v>751</v>
      </c>
      <c r="I86" s="136" t="s">
        <v>60</v>
      </c>
      <c r="J86" s="136" t="s">
        <v>92</v>
      </c>
      <c r="K86" s="139" t="s">
        <v>752</v>
      </c>
      <c r="L86" s="139" t="s">
        <v>753</v>
      </c>
      <c r="M86" s="139" t="s">
        <v>754</v>
      </c>
      <c r="N86" s="139" t="s">
        <v>76</v>
      </c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</row>
    <row r="87" ht="22.5" customHeight="1" spans="1:34">
      <c r="A87" s="130">
        <v>84</v>
      </c>
      <c r="B87" s="131" t="s">
        <v>745</v>
      </c>
      <c r="C87" s="132" t="s">
        <v>755</v>
      </c>
      <c r="D87" s="131" t="s">
        <v>756</v>
      </c>
      <c r="E87" s="131" t="s">
        <v>757</v>
      </c>
      <c r="F87" s="131" t="s">
        <v>758</v>
      </c>
      <c r="G87" s="131" t="s">
        <v>759</v>
      </c>
      <c r="H87" s="133" t="s">
        <v>760</v>
      </c>
      <c r="I87" s="131" t="s">
        <v>60</v>
      </c>
      <c r="J87" s="131" t="s">
        <v>61</v>
      </c>
      <c r="K87" s="134" t="s">
        <v>761</v>
      </c>
      <c r="L87" s="134" t="s">
        <v>762</v>
      </c>
      <c r="M87" s="134" t="s">
        <v>763</v>
      </c>
      <c r="N87" s="134" t="s">
        <v>76</v>
      </c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</row>
    <row r="88" ht="22.5" customHeight="1" spans="1:34">
      <c r="A88" s="135">
        <v>85</v>
      </c>
      <c r="B88" s="136" t="s">
        <v>745</v>
      </c>
      <c r="C88" s="137" t="s">
        <v>764</v>
      </c>
      <c r="D88" s="136" t="s">
        <v>765</v>
      </c>
      <c r="E88" s="136" t="s">
        <v>766</v>
      </c>
      <c r="F88" s="136" t="s">
        <v>767</v>
      </c>
      <c r="G88" s="136" t="s">
        <v>768</v>
      </c>
      <c r="H88" s="138" t="s">
        <v>769</v>
      </c>
      <c r="I88" s="136" t="s">
        <v>60</v>
      </c>
      <c r="J88" s="136" t="s">
        <v>92</v>
      </c>
      <c r="K88" s="139" t="s">
        <v>770</v>
      </c>
      <c r="L88" s="139" t="s">
        <v>771</v>
      </c>
      <c r="M88" s="139" t="s">
        <v>772</v>
      </c>
      <c r="N88" s="139" t="s">
        <v>76</v>
      </c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</row>
    <row r="89" ht="22.5" customHeight="1" spans="1:34">
      <c r="A89" s="130">
        <v>86</v>
      </c>
      <c r="B89" s="131" t="s">
        <v>745</v>
      </c>
      <c r="C89" s="132" t="s">
        <v>773</v>
      </c>
      <c r="D89" s="131" t="s">
        <v>774</v>
      </c>
      <c r="E89" s="131" t="s">
        <v>775</v>
      </c>
      <c r="F89" s="131" t="s">
        <v>776</v>
      </c>
      <c r="G89" s="131" t="s">
        <v>777</v>
      </c>
      <c r="H89" s="133" t="s">
        <v>778</v>
      </c>
      <c r="I89" s="131" t="s">
        <v>60</v>
      </c>
      <c r="J89" s="131" t="s">
        <v>92</v>
      </c>
      <c r="K89" s="134" t="s">
        <v>779</v>
      </c>
      <c r="L89" s="134" t="s">
        <v>780</v>
      </c>
      <c r="M89" s="134" t="s">
        <v>781</v>
      </c>
      <c r="N89" s="134" t="s">
        <v>76</v>
      </c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</row>
    <row r="90" ht="22.5" customHeight="1" spans="1:34">
      <c r="A90" s="135">
        <v>87</v>
      </c>
      <c r="B90" s="136" t="s">
        <v>745</v>
      </c>
      <c r="C90" s="137" t="s">
        <v>782</v>
      </c>
      <c r="D90" s="136" t="s">
        <v>783</v>
      </c>
      <c r="E90" s="136" t="s">
        <v>784</v>
      </c>
      <c r="F90" s="136" t="s">
        <v>785</v>
      </c>
      <c r="G90" s="136" t="s">
        <v>786</v>
      </c>
      <c r="H90" s="138" t="s">
        <v>787</v>
      </c>
      <c r="I90" s="136" t="s">
        <v>60</v>
      </c>
      <c r="J90" s="136" t="s">
        <v>61</v>
      </c>
      <c r="K90" s="139" t="s">
        <v>788</v>
      </c>
      <c r="L90" s="139" t="s">
        <v>789</v>
      </c>
      <c r="M90" s="139" t="s">
        <v>790</v>
      </c>
      <c r="N90" s="139" t="s">
        <v>76</v>
      </c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</row>
    <row r="91" ht="22.5" customHeight="1" spans="1:34">
      <c r="A91" s="130">
        <v>88</v>
      </c>
      <c r="B91" s="131" t="s">
        <v>745</v>
      </c>
      <c r="C91" s="132" t="s">
        <v>791</v>
      </c>
      <c r="D91" s="131" t="s">
        <v>792</v>
      </c>
      <c r="E91" s="131" t="s">
        <v>793</v>
      </c>
      <c r="F91" s="131" t="s">
        <v>794</v>
      </c>
      <c r="G91" s="131" t="s">
        <v>795</v>
      </c>
      <c r="H91" s="133" t="s">
        <v>796</v>
      </c>
      <c r="I91" s="131" t="s">
        <v>60</v>
      </c>
      <c r="J91" s="131" t="s">
        <v>61</v>
      </c>
      <c r="K91" s="134" t="s">
        <v>797</v>
      </c>
      <c r="L91" s="134" t="s">
        <v>798</v>
      </c>
      <c r="M91" s="134" t="s">
        <v>754</v>
      </c>
      <c r="N91" s="134" t="s">
        <v>76</v>
      </c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</row>
    <row r="92" ht="22.5" customHeight="1" spans="1:34">
      <c r="A92" s="135">
        <v>89</v>
      </c>
      <c r="B92" s="136" t="s">
        <v>745</v>
      </c>
      <c r="C92" s="137" t="s">
        <v>799</v>
      </c>
      <c r="D92" s="136" t="s">
        <v>800</v>
      </c>
      <c r="E92" s="136" t="s">
        <v>801</v>
      </c>
      <c r="F92" s="136" t="s">
        <v>802</v>
      </c>
      <c r="G92" s="136" t="s">
        <v>803</v>
      </c>
      <c r="H92" s="138" t="s">
        <v>804</v>
      </c>
      <c r="I92" s="136" t="s">
        <v>60</v>
      </c>
      <c r="J92" s="136" t="s">
        <v>61</v>
      </c>
      <c r="K92" s="139" t="s">
        <v>805</v>
      </c>
      <c r="L92" s="139" t="s">
        <v>806</v>
      </c>
      <c r="M92" s="139" t="s">
        <v>754</v>
      </c>
      <c r="N92" s="139" t="s">
        <v>76</v>
      </c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</row>
    <row r="93" ht="22.5" customHeight="1" spans="1:34">
      <c r="A93" s="130">
        <v>90</v>
      </c>
      <c r="B93" s="131" t="s">
        <v>745</v>
      </c>
      <c r="C93" s="132" t="s">
        <v>807</v>
      </c>
      <c r="D93" s="131" t="s">
        <v>808</v>
      </c>
      <c r="E93" s="131" t="s">
        <v>809</v>
      </c>
      <c r="F93" s="131" t="s">
        <v>810</v>
      </c>
      <c r="G93" s="131" t="s">
        <v>811</v>
      </c>
      <c r="H93" s="133" t="s">
        <v>812</v>
      </c>
      <c r="I93" s="131" t="s">
        <v>60</v>
      </c>
      <c r="J93" s="131" t="s">
        <v>61</v>
      </c>
      <c r="K93" s="134" t="s">
        <v>813</v>
      </c>
      <c r="L93" s="134" t="s">
        <v>814</v>
      </c>
      <c r="M93" s="134" t="s">
        <v>763</v>
      </c>
      <c r="N93" s="134" t="s">
        <v>76</v>
      </c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</row>
    <row r="94" ht="22.5" customHeight="1" spans="1:34">
      <c r="A94" s="135">
        <v>91</v>
      </c>
      <c r="B94" s="136" t="s">
        <v>745</v>
      </c>
      <c r="C94" s="137" t="s">
        <v>815</v>
      </c>
      <c r="D94" s="136" t="s">
        <v>816</v>
      </c>
      <c r="E94" s="136" t="s">
        <v>817</v>
      </c>
      <c r="F94" s="136" t="s">
        <v>818</v>
      </c>
      <c r="G94" s="136" t="s">
        <v>819</v>
      </c>
      <c r="H94" s="138" t="s">
        <v>820</v>
      </c>
      <c r="I94" s="136" t="s">
        <v>60</v>
      </c>
      <c r="J94" s="136" t="s">
        <v>61</v>
      </c>
      <c r="K94" s="139" t="s">
        <v>821</v>
      </c>
      <c r="L94" s="139" t="s">
        <v>822</v>
      </c>
      <c r="M94" s="139" t="s">
        <v>754</v>
      </c>
      <c r="N94" s="139" t="s">
        <v>76</v>
      </c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</row>
    <row r="95" ht="22.5" customHeight="1" spans="1:34">
      <c r="A95" s="130">
        <v>92</v>
      </c>
      <c r="B95" s="131" t="s">
        <v>745</v>
      </c>
      <c r="C95" s="132" t="s">
        <v>823</v>
      </c>
      <c r="D95" s="131" t="s">
        <v>824</v>
      </c>
      <c r="E95" s="131" t="s">
        <v>825</v>
      </c>
      <c r="F95" s="131" t="s">
        <v>826</v>
      </c>
      <c r="G95" s="131" t="s">
        <v>827</v>
      </c>
      <c r="H95" s="133" t="s">
        <v>828</v>
      </c>
      <c r="I95" s="131" t="s">
        <v>60</v>
      </c>
      <c r="J95" s="131" t="s">
        <v>61</v>
      </c>
      <c r="K95" s="134" t="s">
        <v>829</v>
      </c>
      <c r="L95" s="134" t="s">
        <v>830</v>
      </c>
      <c r="M95" s="134" t="s">
        <v>754</v>
      </c>
      <c r="N95" s="134" t="s">
        <v>76</v>
      </c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</row>
    <row r="96" ht="22.5" customHeight="1" spans="1:34">
      <c r="A96" s="135">
        <v>93</v>
      </c>
      <c r="B96" s="136" t="s">
        <v>745</v>
      </c>
      <c r="C96" s="137" t="s">
        <v>831</v>
      </c>
      <c r="D96" s="136" t="s">
        <v>832</v>
      </c>
      <c r="E96" s="136" t="s">
        <v>833</v>
      </c>
      <c r="F96" s="136" t="s">
        <v>834</v>
      </c>
      <c r="G96" s="136" t="s">
        <v>835</v>
      </c>
      <c r="H96" s="138" t="s">
        <v>836</v>
      </c>
      <c r="I96" s="136" t="s">
        <v>60</v>
      </c>
      <c r="J96" s="136" t="s">
        <v>61</v>
      </c>
      <c r="K96" s="139" t="s">
        <v>837</v>
      </c>
      <c r="L96" s="139" t="s">
        <v>720</v>
      </c>
      <c r="M96" s="139" t="s">
        <v>838</v>
      </c>
      <c r="N96" s="139" t="s">
        <v>76</v>
      </c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</row>
    <row r="97" ht="22.5" customHeight="1" spans="1:34">
      <c r="A97" s="130">
        <v>94</v>
      </c>
      <c r="B97" s="131" t="s">
        <v>745</v>
      </c>
      <c r="C97" s="132" t="s">
        <v>839</v>
      </c>
      <c r="D97" s="131" t="s">
        <v>840</v>
      </c>
      <c r="E97" s="131" t="s">
        <v>841</v>
      </c>
      <c r="F97" s="131" t="s">
        <v>842</v>
      </c>
      <c r="G97" s="131" t="s">
        <v>843</v>
      </c>
      <c r="H97" s="133" t="s">
        <v>844</v>
      </c>
      <c r="I97" s="131" t="s">
        <v>60</v>
      </c>
      <c r="J97" s="131" t="s">
        <v>92</v>
      </c>
      <c r="K97" s="134" t="s">
        <v>845</v>
      </c>
      <c r="L97" s="134" t="s">
        <v>846</v>
      </c>
      <c r="M97" s="134" t="s">
        <v>754</v>
      </c>
      <c r="N97" s="134" t="s">
        <v>76</v>
      </c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</row>
    <row r="98" ht="22.5" customHeight="1" spans="1:34">
      <c r="A98" s="135">
        <v>95</v>
      </c>
      <c r="B98" s="136" t="s">
        <v>745</v>
      </c>
      <c r="C98" s="137" t="s">
        <v>847</v>
      </c>
      <c r="D98" s="136" t="s">
        <v>848</v>
      </c>
      <c r="E98" s="136" t="s">
        <v>849</v>
      </c>
      <c r="F98" s="136" t="s">
        <v>850</v>
      </c>
      <c r="G98" s="136" t="s">
        <v>851</v>
      </c>
      <c r="H98" s="138" t="s">
        <v>852</v>
      </c>
      <c r="I98" s="136" t="s">
        <v>136</v>
      </c>
      <c r="J98" s="136" t="s">
        <v>92</v>
      </c>
      <c r="K98" s="139" t="s">
        <v>853</v>
      </c>
      <c r="L98" s="139" t="s">
        <v>854</v>
      </c>
      <c r="M98" s="139" t="s">
        <v>855</v>
      </c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</row>
    <row r="99" ht="22.5" customHeight="1" spans="1:34">
      <c r="A99" s="130">
        <v>96</v>
      </c>
      <c r="B99" s="131" t="s">
        <v>745</v>
      </c>
      <c r="C99" s="132" t="s">
        <v>856</v>
      </c>
      <c r="D99" s="131" t="s">
        <v>857</v>
      </c>
      <c r="E99" s="131" t="s">
        <v>858</v>
      </c>
      <c r="F99" s="131" t="s">
        <v>859</v>
      </c>
      <c r="G99" s="131" t="s">
        <v>860</v>
      </c>
      <c r="H99" s="133" t="s">
        <v>861</v>
      </c>
      <c r="I99" s="131" t="s">
        <v>862</v>
      </c>
      <c r="J99" s="131" t="s">
        <v>92</v>
      </c>
      <c r="K99" s="134" t="s">
        <v>863</v>
      </c>
      <c r="L99" s="134" t="s">
        <v>864</v>
      </c>
      <c r="M99" s="134" t="s">
        <v>772</v>
      </c>
      <c r="N99" s="134" t="s">
        <v>76</v>
      </c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</row>
    <row r="100" ht="22.5" customHeight="1" spans="1:34">
      <c r="A100" s="135">
        <v>97</v>
      </c>
      <c r="B100" s="136" t="s">
        <v>745</v>
      </c>
      <c r="C100" s="137" t="s">
        <v>865</v>
      </c>
      <c r="D100" s="136" t="s">
        <v>866</v>
      </c>
      <c r="E100" s="136" t="s">
        <v>867</v>
      </c>
      <c r="F100" s="136" t="s">
        <v>868</v>
      </c>
      <c r="G100" s="136" t="s">
        <v>869</v>
      </c>
      <c r="H100" s="138" t="s">
        <v>870</v>
      </c>
      <c r="I100" s="136" t="s">
        <v>60</v>
      </c>
      <c r="J100" s="136" t="s">
        <v>61</v>
      </c>
      <c r="K100" s="139" t="s">
        <v>871</v>
      </c>
      <c r="L100" s="139" t="s">
        <v>872</v>
      </c>
      <c r="M100" s="139" t="s">
        <v>754</v>
      </c>
      <c r="N100" s="139" t="s">
        <v>76</v>
      </c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</row>
    <row r="101" ht="22.5" customHeight="1" spans="1:34">
      <c r="A101" s="130">
        <v>98</v>
      </c>
      <c r="B101" s="131" t="s">
        <v>745</v>
      </c>
      <c r="C101" s="132" t="s">
        <v>873</v>
      </c>
      <c r="D101" s="131" t="s">
        <v>874</v>
      </c>
      <c r="E101" s="131" t="s">
        <v>875</v>
      </c>
      <c r="F101" s="131" t="s">
        <v>876</v>
      </c>
      <c r="G101" s="131" t="s">
        <v>877</v>
      </c>
      <c r="H101" s="133" t="s">
        <v>878</v>
      </c>
      <c r="I101" s="131" t="s">
        <v>60</v>
      </c>
      <c r="J101" s="131" t="s">
        <v>61</v>
      </c>
      <c r="K101" s="134" t="s">
        <v>879</v>
      </c>
      <c r="L101" s="134" t="s">
        <v>880</v>
      </c>
      <c r="M101" s="134" t="s">
        <v>754</v>
      </c>
      <c r="N101" s="134" t="s">
        <v>76</v>
      </c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4"/>
      <c r="AH101" s="134"/>
    </row>
    <row r="102" ht="22.5" customHeight="1" spans="1:34">
      <c r="A102" s="135">
        <v>99</v>
      </c>
      <c r="B102" s="136" t="s">
        <v>745</v>
      </c>
      <c r="C102" s="137" t="s">
        <v>881</v>
      </c>
      <c r="D102" s="136" t="s">
        <v>882</v>
      </c>
      <c r="E102" s="136" t="s">
        <v>883</v>
      </c>
      <c r="F102" s="136" t="s">
        <v>884</v>
      </c>
      <c r="G102" s="136" t="s">
        <v>885</v>
      </c>
      <c r="H102" s="138" t="s">
        <v>886</v>
      </c>
      <c r="I102" s="136" t="s">
        <v>60</v>
      </c>
      <c r="J102" s="136" t="s">
        <v>61</v>
      </c>
      <c r="K102" s="139" t="s">
        <v>887</v>
      </c>
      <c r="L102" s="139" t="s">
        <v>888</v>
      </c>
      <c r="M102" s="139" t="s">
        <v>889</v>
      </c>
      <c r="N102" s="139" t="s">
        <v>76</v>
      </c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</row>
    <row r="103" ht="22.5" customHeight="1" spans="1:34">
      <c r="A103" s="130">
        <v>100</v>
      </c>
      <c r="B103" s="131" t="s">
        <v>745</v>
      </c>
      <c r="C103" s="132" t="s">
        <v>890</v>
      </c>
      <c r="D103" s="131" t="s">
        <v>891</v>
      </c>
      <c r="E103" s="131" t="s">
        <v>892</v>
      </c>
      <c r="F103" s="131" t="s">
        <v>893</v>
      </c>
      <c r="G103" s="131" t="s">
        <v>894</v>
      </c>
      <c r="H103" s="133" t="s">
        <v>895</v>
      </c>
      <c r="I103" s="131" t="s">
        <v>60</v>
      </c>
      <c r="J103" s="131" t="s">
        <v>61</v>
      </c>
      <c r="K103" s="134" t="s">
        <v>896</v>
      </c>
      <c r="L103" s="134" t="s">
        <v>814</v>
      </c>
      <c r="M103" s="134" t="s">
        <v>763</v>
      </c>
      <c r="N103" s="134" t="s">
        <v>76</v>
      </c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</row>
    <row r="104" ht="22.5" customHeight="1" spans="1:34">
      <c r="A104" s="135">
        <v>101</v>
      </c>
      <c r="B104" s="136" t="s">
        <v>745</v>
      </c>
      <c r="C104" s="137" t="s">
        <v>897</v>
      </c>
      <c r="D104" s="136" t="s">
        <v>898</v>
      </c>
      <c r="E104" s="136" t="s">
        <v>899</v>
      </c>
      <c r="F104" s="136" t="s">
        <v>900</v>
      </c>
      <c r="G104" s="136" t="s">
        <v>901</v>
      </c>
      <c r="H104" s="138" t="s">
        <v>902</v>
      </c>
      <c r="I104" s="136" t="s">
        <v>60</v>
      </c>
      <c r="J104" s="136" t="s">
        <v>61</v>
      </c>
      <c r="K104" s="139" t="s">
        <v>903</v>
      </c>
      <c r="L104" s="139" t="s">
        <v>904</v>
      </c>
      <c r="M104" s="139" t="s">
        <v>754</v>
      </c>
      <c r="N104" s="139" t="s">
        <v>76</v>
      </c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</row>
    <row r="105" ht="22.5" customHeight="1" spans="1:34">
      <c r="A105" s="130">
        <v>102</v>
      </c>
      <c r="B105" s="131" t="s">
        <v>745</v>
      </c>
      <c r="C105" s="132" t="s">
        <v>905</v>
      </c>
      <c r="D105" s="131" t="s">
        <v>906</v>
      </c>
      <c r="E105" s="131" t="s">
        <v>907</v>
      </c>
      <c r="F105" s="131" t="s">
        <v>908</v>
      </c>
      <c r="G105" s="131" t="s">
        <v>909</v>
      </c>
      <c r="H105" s="133" t="s">
        <v>910</v>
      </c>
      <c r="I105" s="131" t="s">
        <v>60</v>
      </c>
      <c r="J105" s="131" t="s">
        <v>61</v>
      </c>
      <c r="K105" s="134" t="s">
        <v>911</v>
      </c>
      <c r="L105" s="134" t="s">
        <v>912</v>
      </c>
      <c r="M105" s="134" t="s">
        <v>913</v>
      </c>
      <c r="N105" s="134" t="s">
        <v>76</v>
      </c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</row>
    <row r="106" ht="22.5" customHeight="1" spans="1:34">
      <c r="A106" s="135">
        <v>103</v>
      </c>
      <c r="B106" s="136" t="s">
        <v>745</v>
      </c>
      <c r="C106" s="137" t="s">
        <v>914</v>
      </c>
      <c r="D106" s="136" t="s">
        <v>915</v>
      </c>
      <c r="E106" s="136" t="s">
        <v>916</v>
      </c>
      <c r="F106" s="136" t="s">
        <v>917</v>
      </c>
      <c r="G106" s="136" t="s">
        <v>918</v>
      </c>
      <c r="H106" s="138" t="s">
        <v>919</v>
      </c>
      <c r="I106" s="136" t="s">
        <v>60</v>
      </c>
      <c r="J106" s="136" t="s">
        <v>61</v>
      </c>
      <c r="K106" s="139" t="s">
        <v>920</v>
      </c>
      <c r="L106" s="139" t="s">
        <v>921</v>
      </c>
      <c r="M106" s="139" t="s">
        <v>754</v>
      </c>
      <c r="N106" s="139" t="s">
        <v>76</v>
      </c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</row>
    <row r="107" ht="22.5" customHeight="1" spans="1:34">
      <c r="A107" s="130">
        <v>104</v>
      </c>
      <c r="B107" s="131" t="s">
        <v>745</v>
      </c>
      <c r="C107" s="132" t="s">
        <v>922</v>
      </c>
      <c r="D107" s="131" t="s">
        <v>923</v>
      </c>
      <c r="E107" s="131" t="s">
        <v>924</v>
      </c>
      <c r="F107" s="131" t="s">
        <v>925</v>
      </c>
      <c r="G107" s="131" t="s">
        <v>926</v>
      </c>
      <c r="H107" s="133" t="s">
        <v>927</v>
      </c>
      <c r="I107" s="131" t="s">
        <v>136</v>
      </c>
      <c r="J107" s="131" t="s">
        <v>61</v>
      </c>
      <c r="K107" s="134" t="s">
        <v>928</v>
      </c>
      <c r="L107" s="134" t="s">
        <v>929</v>
      </c>
      <c r="M107" s="134" t="s">
        <v>855</v>
      </c>
      <c r="N107" s="134" t="s">
        <v>76</v>
      </c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</row>
    <row r="108" ht="22.5" customHeight="1" spans="1:34">
      <c r="A108" s="135">
        <v>105</v>
      </c>
      <c r="B108" s="136" t="s">
        <v>745</v>
      </c>
      <c r="C108" s="137" t="s">
        <v>930</v>
      </c>
      <c r="D108" s="136" t="s">
        <v>931</v>
      </c>
      <c r="E108" s="136" t="s">
        <v>932</v>
      </c>
      <c r="F108" s="136" t="s">
        <v>933</v>
      </c>
      <c r="G108" s="136" t="s">
        <v>934</v>
      </c>
      <c r="H108" s="138" t="s">
        <v>935</v>
      </c>
      <c r="I108" s="136" t="s">
        <v>60</v>
      </c>
      <c r="J108" s="136" t="s">
        <v>61</v>
      </c>
      <c r="K108" s="139" t="s">
        <v>936</v>
      </c>
      <c r="L108" s="139" t="s">
        <v>937</v>
      </c>
      <c r="M108" s="139" t="s">
        <v>754</v>
      </c>
      <c r="N108" s="139" t="s">
        <v>76</v>
      </c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</row>
    <row r="109" ht="22.5" customHeight="1" spans="1:34">
      <c r="A109" s="130">
        <v>106</v>
      </c>
      <c r="B109" s="131" t="s">
        <v>938</v>
      </c>
      <c r="C109" s="132" t="s">
        <v>939</v>
      </c>
      <c r="D109" s="131" t="s">
        <v>940</v>
      </c>
      <c r="E109" s="131" t="s">
        <v>941</v>
      </c>
      <c r="F109" s="131" t="s">
        <v>942</v>
      </c>
      <c r="G109" s="131" t="s">
        <v>943</v>
      </c>
      <c r="H109" s="133" t="s">
        <v>944</v>
      </c>
      <c r="I109" s="131" t="s">
        <v>60</v>
      </c>
      <c r="J109" s="131" t="s">
        <v>92</v>
      </c>
      <c r="K109" s="134" t="s">
        <v>945</v>
      </c>
      <c r="L109" s="134" t="s">
        <v>946</v>
      </c>
      <c r="M109" s="134" t="s">
        <v>947</v>
      </c>
      <c r="N109" s="134" t="s">
        <v>76</v>
      </c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</row>
    <row r="110" ht="22.5" customHeight="1" spans="1:34">
      <c r="A110" s="135">
        <v>107</v>
      </c>
      <c r="B110" s="136" t="s">
        <v>938</v>
      </c>
      <c r="C110" s="137" t="s">
        <v>948</v>
      </c>
      <c r="D110" s="136" t="s">
        <v>949</v>
      </c>
      <c r="E110" s="136" t="s">
        <v>950</v>
      </c>
      <c r="F110" s="136" t="s">
        <v>951</v>
      </c>
      <c r="G110" s="136" t="s">
        <v>952</v>
      </c>
      <c r="H110" s="138" t="s">
        <v>953</v>
      </c>
      <c r="I110" s="136" t="s">
        <v>60</v>
      </c>
      <c r="J110" s="136" t="s">
        <v>61</v>
      </c>
      <c r="K110" s="139" t="s">
        <v>954</v>
      </c>
      <c r="L110" s="139" t="s">
        <v>955</v>
      </c>
      <c r="M110" s="139" t="s">
        <v>947</v>
      </c>
      <c r="N110" s="139" t="s">
        <v>76</v>
      </c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</row>
    <row r="111" ht="22.5" customHeight="1" spans="1:34">
      <c r="A111" s="130">
        <v>108</v>
      </c>
      <c r="B111" s="131" t="s">
        <v>938</v>
      </c>
      <c r="C111" s="132" t="s">
        <v>956</v>
      </c>
      <c r="D111" s="131" t="s">
        <v>957</v>
      </c>
      <c r="E111" s="131" t="s">
        <v>958</v>
      </c>
      <c r="F111" s="131" t="s">
        <v>959</v>
      </c>
      <c r="G111" s="131" t="s">
        <v>960</v>
      </c>
      <c r="H111" s="133" t="s">
        <v>961</v>
      </c>
      <c r="I111" s="131" t="s">
        <v>60</v>
      </c>
      <c r="J111" s="131" t="s">
        <v>61</v>
      </c>
      <c r="K111" s="134" t="s">
        <v>962</v>
      </c>
      <c r="L111" s="134" t="s">
        <v>963</v>
      </c>
      <c r="M111" s="134" t="s">
        <v>964</v>
      </c>
      <c r="N111" s="134" t="s">
        <v>76</v>
      </c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</row>
    <row r="112" ht="22.5" customHeight="1" spans="1:34">
      <c r="A112" s="135">
        <v>109</v>
      </c>
      <c r="B112" s="136" t="s">
        <v>938</v>
      </c>
      <c r="C112" s="137" t="s">
        <v>965</v>
      </c>
      <c r="D112" s="136" t="s">
        <v>966</v>
      </c>
      <c r="E112" s="136" t="s">
        <v>967</v>
      </c>
      <c r="F112" s="136" t="s">
        <v>968</v>
      </c>
      <c r="G112" s="136" t="s">
        <v>969</v>
      </c>
      <c r="H112" s="138" t="s">
        <v>970</v>
      </c>
      <c r="I112" s="136" t="s">
        <v>60</v>
      </c>
      <c r="J112" s="136" t="s">
        <v>92</v>
      </c>
      <c r="K112" s="139" t="s">
        <v>971</v>
      </c>
      <c r="L112" s="139" t="s">
        <v>972</v>
      </c>
      <c r="M112" s="139"/>
      <c r="N112" s="139" t="s">
        <v>76</v>
      </c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</row>
    <row r="113" ht="22.5" customHeight="1" spans="1:34">
      <c r="A113" s="130">
        <v>110</v>
      </c>
      <c r="B113" s="131" t="s">
        <v>938</v>
      </c>
      <c r="C113" s="132" t="s">
        <v>973</v>
      </c>
      <c r="D113" s="131" t="s">
        <v>974</v>
      </c>
      <c r="E113" s="131" t="s">
        <v>975</v>
      </c>
      <c r="F113" s="131" t="s">
        <v>976</v>
      </c>
      <c r="G113" s="131" t="s">
        <v>977</v>
      </c>
      <c r="H113" s="133" t="s">
        <v>978</v>
      </c>
      <c r="I113" s="131" t="s">
        <v>60</v>
      </c>
      <c r="J113" s="131" t="s">
        <v>61</v>
      </c>
      <c r="K113" s="134" t="s">
        <v>979</v>
      </c>
      <c r="L113" s="134" t="s">
        <v>980</v>
      </c>
      <c r="M113" s="134" t="s">
        <v>981</v>
      </c>
      <c r="N113" s="134" t="s">
        <v>76</v>
      </c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</row>
    <row r="114" ht="22.5" customHeight="1" spans="1:34">
      <c r="A114" s="135">
        <v>111</v>
      </c>
      <c r="B114" s="136" t="s">
        <v>938</v>
      </c>
      <c r="C114" s="137" t="s">
        <v>982</v>
      </c>
      <c r="D114" s="136" t="s">
        <v>983</v>
      </c>
      <c r="E114" s="136" t="s">
        <v>984</v>
      </c>
      <c r="F114" s="136" t="s">
        <v>985</v>
      </c>
      <c r="G114" s="136" t="s">
        <v>986</v>
      </c>
      <c r="H114" s="138" t="s">
        <v>987</v>
      </c>
      <c r="I114" s="136" t="s">
        <v>60</v>
      </c>
      <c r="J114" s="136" t="s">
        <v>92</v>
      </c>
      <c r="K114" s="139" t="s">
        <v>988</v>
      </c>
      <c r="L114" s="139" t="s">
        <v>989</v>
      </c>
      <c r="M114" s="139" t="s">
        <v>947</v>
      </c>
      <c r="N114" s="139" t="s">
        <v>76</v>
      </c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</row>
    <row r="115" ht="22.5" customHeight="1" spans="1:34">
      <c r="A115" s="130">
        <v>112</v>
      </c>
      <c r="B115" s="131" t="s">
        <v>938</v>
      </c>
      <c r="C115" s="132" t="s">
        <v>990</v>
      </c>
      <c r="D115" s="131" t="s">
        <v>991</v>
      </c>
      <c r="E115" s="131" t="s">
        <v>992</v>
      </c>
      <c r="F115" s="131" t="s">
        <v>993</v>
      </c>
      <c r="G115" s="131" t="s">
        <v>994</v>
      </c>
      <c r="H115" s="133" t="s">
        <v>995</v>
      </c>
      <c r="I115" s="131" t="s">
        <v>60</v>
      </c>
      <c r="J115" s="131" t="s">
        <v>61</v>
      </c>
      <c r="K115" s="134" t="s">
        <v>996</v>
      </c>
      <c r="L115" s="134" t="s">
        <v>997</v>
      </c>
      <c r="M115" s="134" t="s">
        <v>964</v>
      </c>
      <c r="N115" s="134" t="s">
        <v>76</v>
      </c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</row>
    <row r="116" ht="22.5" customHeight="1" spans="1:34">
      <c r="A116" s="135">
        <v>113</v>
      </c>
      <c r="B116" s="136" t="s">
        <v>938</v>
      </c>
      <c r="C116" s="137" t="s">
        <v>998</v>
      </c>
      <c r="D116" s="136" t="s">
        <v>999</v>
      </c>
      <c r="E116" s="136" t="s">
        <v>1000</v>
      </c>
      <c r="F116" s="136" t="s">
        <v>1001</v>
      </c>
      <c r="G116" s="136" t="s">
        <v>1002</v>
      </c>
      <c r="H116" s="138" t="s">
        <v>1003</v>
      </c>
      <c r="I116" s="136" t="s">
        <v>60</v>
      </c>
      <c r="J116" s="136" t="s">
        <v>61</v>
      </c>
      <c r="K116" s="139" t="s">
        <v>1004</v>
      </c>
      <c r="L116" s="139" t="s">
        <v>1005</v>
      </c>
      <c r="M116" s="139" t="s">
        <v>947</v>
      </c>
      <c r="N116" s="139" t="s">
        <v>76</v>
      </c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</row>
    <row r="117" ht="22.5" customHeight="1" spans="1:34">
      <c r="A117" s="130">
        <v>114</v>
      </c>
      <c r="B117" s="131" t="s">
        <v>938</v>
      </c>
      <c r="C117" s="132" t="s">
        <v>1006</v>
      </c>
      <c r="D117" s="131" t="s">
        <v>1007</v>
      </c>
      <c r="E117" s="131" t="s">
        <v>1008</v>
      </c>
      <c r="F117" s="131" t="s">
        <v>1009</v>
      </c>
      <c r="G117" s="131" t="s">
        <v>1010</v>
      </c>
      <c r="H117" s="133" t="s">
        <v>1011</v>
      </c>
      <c r="I117" s="131" t="s">
        <v>60</v>
      </c>
      <c r="J117" s="131" t="s">
        <v>92</v>
      </c>
      <c r="K117" s="134" t="s">
        <v>1012</v>
      </c>
      <c r="L117" s="134" t="s">
        <v>1013</v>
      </c>
      <c r="M117" s="134" t="s">
        <v>1014</v>
      </c>
      <c r="N117" s="134" t="s">
        <v>76</v>
      </c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</row>
    <row r="118" ht="22.5" customHeight="1" spans="1:34">
      <c r="A118" s="135">
        <v>115</v>
      </c>
      <c r="B118" s="136" t="s">
        <v>938</v>
      </c>
      <c r="C118" s="137" t="s">
        <v>1015</v>
      </c>
      <c r="D118" s="136" t="s">
        <v>1016</v>
      </c>
      <c r="E118" s="136" t="s">
        <v>1017</v>
      </c>
      <c r="F118" s="136" t="s">
        <v>1018</v>
      </c>
      <c r="G118" s="136" t="s">
        <v>1019</v>
      </c>
      <c r="H118" s="138" t="s">
        <v>1020</v>
      </c>
      <c r="I118" s="136" t="s">
        <v>60</v>
      </c>
      <c r="J118" s="136" t="s">
        <v>61</v>
      </c>
      <c r="K118" s="139" t="s">
        <v>1021</v>
      </c>
      <c r="L118" s="139" t="s">
        <v>1022</v>
      </c>
      <c r="M118" s="139" t="s">
        <v>1014</v>
      </c>
      <c r="N118" s="139" t="s">
        <v>76</v>
      </c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</row>
    <row r="119" ht="22.5" customHeight="1" spans="1:34">
      <c r="A119" s="130">
        <v>116</v>
      </c>
      <c r="B119" s="131" t="s">
        <v>938</v>
      </c>
      <c r="C119" s="132" t="s">
        <v>1023</v>
      </c>
      <c r="D119" s="131" t="s">
        <v>1024</v>
      </c>
      <c r="E119" s="131" t="s">
        <v>1025</v>
      </c>
      <c r="F119" s="131" t="s">
        <v>1026</v>
      </c>
      <c r="G119" s="131" t="s">
        <v>1027</v>
      </c>
      <c r="H119" s="133" t="s">
        <v>1028</v>
      </c>
      <c r="I119" s="131" t="s">
        <v>60</v>
      </c>
      <c r="J119" s="131" t="s">
        <v>92</v>
      </c>
      <c r="K119" s="134" t="s">
        <v>1029</v>
      </c>
      <c r="L119" s="134" t="s">
        <v>1030</v>
      </c>
      <c r="M119" s="134" t="s">
        <v>981</v>
      </c>
      <c r="N119" s="134" t="s">
        <v>76</v>
      </c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</row>
    <row r="120" ht="22.5" customHeight="1" spans="1:34">
      <c r="A120" s="135">
        <v>117</v>
      </c>
      <c r="B120" s="136" t="s">
        <v>938</v>
      </c>
      <c r="C120" s="137" t="s">
        <v>1031</v>
      </c>
      <c r="D120" s="136" t="s">
        <v>1032</v>
      </c>
      <c r="E120" s="136" t="s">
        <v>1033</v>
      </c>
      <c r="F120" s="136" t="s">
        <v>1034</v>
      </c>
      <c r="G120" s="136" t="s">
        <v>1035</v>
      </c>
      <c r="H120" s="138" t="s">
        <v>1036</v>
      </c>
      <c r="I120" s="136" t="s">
        <v>60</v>
      </c>
      <c r="J120" s="136" t="s">
        <v>61</v>
      </c>
      <c r="K120" s="139" t="s">
        <v>1037</v>
      </c>
      <c r="L120" s="139" t="s">
        <v>1038</v>
      </c>
      <c r="M120" s="139" t="s">
        <v>947</v>
      </c>
      <c r="N120" s="139" t="s">
        <v>76</v>
      </c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</row>
    <row r="121" ht="22.5" customHeight="1" spans="1:34">
      <c r="A121" s="130">
        <v>118</v>
      </c>
      <c r="B121" s="131" t="s">
        <v>938</v>
      </c>
      <c r="C121" s="132" t="s">
        <v>1039</v>
      </c>
      <c r="D121" s="131" t="s">
        <v>1040</v>
      </c>
      <c r="E121" s="131" t="s">
        <v>1041</v>
      </c>
      <c r="F121" s="131" t="s">
        <v>1042</v>
      </c>
      <c r="G121" s="131" t="s">
        <v>1043</v>
      </c>
      <c r="H121" s="133" t="s">
        <v>1044</v>
      </c>
      <c r="I121" s="131" t="s">
        <v>60</v>
      </c>
      <c r="J121" s="131" t="s">
        <v>61</v>
      </c>
      <c r="K121" s="134" t="s">
        <v>1045</v>
      </c>
      <c r="L121" s="134" t="s">
        <v>1046</v>
      </c>
      <c r="M121" s="134" t="s">
        <v>981</v>
      </c>
      <c r="N121" s="134" t="s">
        <v>76</v>
      </c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</row>
    <row r="122" ht="22.5" customHeight="1" spans="1:34">
      <c r="A122" s="135">
        <v>119</v>
      </c>
      <c r="B122" s="136" t="s">
        <v>938</v>
      </c>
      <c r="C122" s="137" t="s">
        <v>1047</v>
      </c>
      <c r="D122" s="136" t="s">
        <v>1048</v>
      </c>
      <c r="E122" s="136" t="s">
        <v>1049</v>
      </c>
      <c r="F122" s="136" t="s">
        <v>1050</v>
      </c>
      <c r="G122" s="136" t="s">
        <v>1051</v>
      </c>
      <c r="H122" s="138" t="s">
        <v>1052</v>
      </c>
      <c r="I122" s="136" t="s">
        <v>60</v>
      </c>
      <c r="J122" s="136" t="s">
        <v>61</v>
      </c>
      <c r="K122" s="139" t="s">
        <v>1053</v>
      </c>
      <c r="L122" s="139" t="s">
        <v>1054</v>
      </c>
      <c r="M122" s="139" t="s">
        <v>947</v>
      </c>
      <c r="N122" s="139" t="s">
        <v>76</v>
      </c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</row>
    <row r="123" ht="22.5" customHeight="1" spans="1:34">
      <c r="A123" s="130">
        <v>120</v>
      </c>
      <c r="B123" s="131" t="s">
        <v>938</v>
      </c>
      <c r="C123" s="132" t="s">
        <v>1055</v>
      </c>
      <c r="D123" s="131" t="s">
        <v>1056</v>
      </c>
      <c r="E123" s="131" t="s">
        <v>1057</v>
      </c>
      <c r="F123" s="131" t="s">
        <v>1058</v>
      </c>
      <c r="G123" s="131" t="s">
        <v>1059</v>
      </c>
      <c r="H123" s="133" t="s">
        <v>1060</v>
      </c>
      <c r="I123" s="131" t="s">
        <v>60</v>
      </c>
      <c r="J123" s="131" t="s">
        <v>61</v>
      </c>
      <c r="K123" s="134" t="s">
        <v>1061</v>
      </c>
      <c r="L123" s="134" t="s">
        <v>1062</v>
      </c>
      <c r="M123" s="134" t="s">
        <v>981</v>
      </c>
      <c r="N123" s="134" t="s">
        <v>76</v>
      </c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</row>
    <row r="124" ht="22.5" customHeight="1" spans="1:34">
      <c r="A124" s="135">
        <v>121</v>
      </c>
      <c r="B124" s="136" t="s">
        <v>938</v>
      </c>
      <c r="C124" s="137" t="s">
        <v>1063</v>
      </c>
      <c r="D124" s="136" t="s">
        <v>1064</v>
      </c>
      <c r="E124" s="136" t="s">
        <v>1065</v>
      </c>
      <c r="F124" s="136" t="s">
        <v>1066</v>
      </c>
      <c r="G124" s="136" t="s">
        <v>1067</v>
      </c>
      <c r="H124" s="138" t="s">
        <v>1068</v>
      </c>
      <c r="I124" s="136" t="s">
        <v>60</v>
      </c>
      <c r="J124" s="136" t="s">
        <v>61</v>
      </c>
      <c r="K124" s="139" t="s">
        <v>1069</v>
      </c>
      <c r="L124" s="139" t="s">
        <v>1070</v>
      </c>
      <c r="M124" s="139" t="s">
        <v>1014</v>
      </c>
      <c r="N124" s="139" t="s">
        <v>76</v>
      </c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</row>
    <row r="125" ht="22.5" customHeight="1" spans="1:34">
      <c r="A125" s="130">
        <v>122</v>
      </c>
      <c r="B125" s="131" t="s">
        <v>938</v>
      </c>
      <c r="C125" s="132" t="s">
        <v>1071</v>
      </c>
      <c r="D125" s="131" t="s">
        <v>1072</v>
      </c>
      <c r="E125" s="131" t="s">
        <v>1073</v>
      </c>
      <c r="F125" s="131" t="s">
        <v>1074</v>
      </c>
      <c r="G125" s="131" t="s">
        <v>1075</v>
      </c>
      <c r="H125" s="133" t="s">
        <v>1076</v>
      </c>
      <c r="I125" s="131" t="s">
        <v>60</v>
      </c>
      <c r="J125" s="131" t="s">
        <v>61</v>
      </c>
      <c r="K125" s="134" t="s">
        <v>1077</v>
      </c>
      <c r="L125" s="134" t="s">
        <v>1078</v>
      </c>
      <c r="M125" s="134" t="s">
        <v>981</v>
      </c>
      <c r="N125" s="134" t="s">
        <v>76</v>
      </c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</row>
    <row r="126" ht="22.5" customHeight="1" spans="1:34">
      <c r="A126" s="135">
        <v>123</v>
      </c>
      <c r="B126" s="136" t="s">
        <v>938</v>
      </c>
      <c r="C126" s="137" t="s">
        <v>1079</v>
      </c>
      <c r="D126" s="136" t="s">
        <v>1080</v>
      </c>
      <c r="E126" s="136" t="s">
        <v>1081</v>
      </c>
      <c r="F126" s="136" t="s">
        <v>1082</v>
      </c>
      <c r="G126" s="136" t="s">
        <v>1083</v>
      </c>
      <c r="H126" s="138" t="s">
        <v>491</v>
      </c>
      <c r="I126" s="136" t="s">
        <v>60</v>
      </c>
      <c r="J126" s="136" t="s">
        <v>61</v>
      </c>
      <c r="K126" s="139" t="s">
        <v>1084</v>
      </c>
      <c r="L126" s="139" t="s">
        <v>1085</v>
      </c>
      <c r="M126" s="139" t="s">
        <v>1086</v>
      </c>
      <c r="N126" s="139" t="s">
        <v>76</v>
      </c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</row>
    <row r="127" ht="22.5" customHeight="1" spans="1:34">
      <c r="A127" s="130">
        <v>124</v>
      </c>
      <c r="B127" s="131" t="s">
        <v>938</v>
      </c>
      <c r="C127" s="132" t="s">
        <v>1087</v>
      </c>
      <c r="D127" s="131" t="s">
        <v>1088</v>
      </c>
      <c r="E127" s="131" t="s">
        <v>1089</v>
      </c>
      <c r="F127" s="131" t="s">
        <v>1090</v>
      </c>
      <c r="G127" s="131" t="s">
        <v>1091</v>
      </c>
      <c r="H127" s="133" t="s">
        <v>1092</v>
      </c>
      <c r="I127" s="131" t="s">
        <v>60</v>
      </c>
      <c r="J127" s="131" t="s">
        <v>61</v>
      </c>
      <c r="K127" s="134" t="s">
        <v>1093</v>
      </c>
      <c r="L127" s="134" t="s">
        <v>1094</v>
      </c>
      <c r="M127" s="134" t="s">
        <v>1014</v>
      </c>
      <c r="N127" s="134" t="s">
        <v>76</v>
      </c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</row>
    <row r="128" ht="22.5" customHeight="1" spans="1:34">
      <c r="A128" s="135">
        <v>125</v>
      </c>
      <c r="B128" s="136" t="s">
        <v>938</v>
      </c>
      <c r="C128" s="137" t="s">
        <v>1095</v>
      </c>
      <c r="D128" s="136" t="s">
        <v>1096</v>
      </c>
      <c r="E128" s="136" t="s">
        <v>1097</v>
      </c>
      <c r="F128" s="136" t="s">
        <v>1098</v>
      </c>
      <c r="G128" s="136" t="s">
        <v>1099</v>
      </c>
      <c r="H128" s="138" t="s">
        <v>1100</v>
      </c>
      <c r="I128" s="136" t="s">
        <v>60</v>
      </c>
      <c r="J128" s="136" t="s">
        <v>61</v>
      </c>
      <c r="K128" s="139" t="s">
        <v>1101</v>
      </c>
      <c r="L128" s="139" t="s">
        <v>1102</v>
      </c>
      <c r="M128" s="139" t="s">
        <v>947</v>
      </c>
      <c r="N128" s="139" t="s">
        <v>76</v>
      </c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</row>
    <row r="129" ht="22.5" customHeight="1" spans="1:34">
      <c r="A129" s="130">
        <v>126</v>
      </c>
      <c r="B129" s="131" t="s">
        <v>938</v>
      </c>
      <c r="C129" s="132" t="s">
        <v>1103</v>
      </c>
      <c r="D129" s="131" t="s">
        <v>1104</v>
      </c>
      <c r="E129" s="131" t="s">
        <v>1105</v>
      </c>
      <c r="F129" s="131" t="s">
        <v>1106</v>
      </c>
      <c r="G129" s="131" t="s">
        <v>1107</v>
      </c>
      <c r="H129" s="133" t="s">
        <v>1108</v>
      </c>
      <c r="I129" s="131" t="s">
        <v>60</v>
      </c>
      <c r="J129" s="131" t="s">
        <v>61</v>
      </c>
      <c r="K129" s="134" t="s">
        <v>1109</v>
      </c>
      <c r="L129" s="134" t="s">
        <v>1110</v>
      </c>
      <c r="M129" s="134" t="s">
        <v>947</v>
      </c>
      <c r="N129" s="134" t="s">
        <v>76</v>
      </c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</row>
    <row r="130" ht="22.5" customHeight="1" spans="1:34">
      <c r="A130" s="135">
        <v>127</v>
      </c>
      <c r="B130" s="136" t="s">
        <v>938</v>
      </c>
      <c r="C130" s="137" t="s">
        <v>1111</v>
      </c>
      <c r="D130" s="136" t="s">
        <v>1112</v>
      </c>
      <c r="E130" s="136" t="s">
        <v>1113</v>
      </c>
      <c r="F130" s="136" t="s">
        <v>1114</v>
      </c>
      <c r="G130" s="136" t="s">
        <v>1115</v>
      </c>
      <c r="H130" s="138" t="s">
        <v>1116</v>
      </c>
      <c r="I130" s="136" t="s">
        <v>60</v>
      </c>
      <c r="J130" s="136" t="s">
        <v>61</v>
      </c>
      <c r="K130" s="139" t="s">
        <v>1117</v>
      </c>
      <c r="L130" s="139" t="s">
        <v>1118</v>
      </c>
      <c r="M130" s="139" t="s">
        <v>947</v>
      </c>
      <c r="N130" s="139" t="s">
        <v>76</v>
      </c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</row>
    <row r="131" ht="22.5" customHeight="1" spans="1:34">
      <c r="A131" s="130">
        <v>128</v>
      </c>
      <c r="B131" s="131" t="s">
        <v>938</v>
      </c>
      <c r="C131" s="132" t="s">
        <v>1119</v>
      </c>
      <c r="D131" s="131" t="s">
        <v>1120</v>
      </c>
      <c r="E131" s="131" t="s">
        <v>1121</v>
      </c>
      <c r="F131" s="131" t="s">
        <v>1122</v>
      </c>
      <c r="G131" s="131" t="s">
        <v>1123</v>
      </c>
      <c r="H131" s="133" t="s">
        <v>1124</v>
      </c>
      <c r="I131" s="131" t="s">
        <v>60</v>
      </c>
      <c r="J131" s="131" t="s">
        <v>61</v>
      </c>
      <c r="K131" s="134" t="s">
        <v>1125</v>
      </c>
      <c r="L131" s="134" t="s">
        <v>1126</v>
      </c>
      <c r="M131" s="134" t="s">
        <v>1014</v>
      </c>
      <c r="N131" s="134" t="s">
        <v>76</v>
      </c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</row>
    <row r="132" ht="22.5" customHeight="1" spans="1:34">
      <c r="A132" s="135">
        <v>129</v>
      </c>
      <c r="B132" s="136" t="s">
        <v>938</v>
      </c>
      <c r="C132" s="137" t="s">
        <v>1127</v>
      </c>
      <c r="D132" s="136" t="s">
        <v>1128</v>
      </c>
      <c r="E132" s="136" t="s">
        <v>1129</v>
      </c>
      <c r="F132" s="136" t="s">
        <v>1130</v>
      </c>
      <c r="G132" s="136" t="s">
        <v>1131</v>
      </c>
      <c r="H132" s="138" t="s">
        <v>1132</v>
      </c>
      <c r="I132" s="136" t="s">
        <v>60</v>
      </c>
      <c r="J132" s="136" t="s">
        <v>61</v>
      </c>
      <c r="K132" s="139" t="s">
        <v>1133</v>
      </c>
      <c r="L132" s="139" t="s">
        <v>1134</v>
      </c>
      <c r="M132" s="139" t="s">
        <v>1014</v>
      </c>
      <c r="N132" s="139" t="s">
        <v>76</v>
      </c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</row>
    <row r="133" ht="22.5" customHeight="1" spans="1:34">
      <c r="A133" s="130">
        <v>130</v>
      </c>
      <c r="B133" s="131" t="s">
        <v>938</v>
      </c>
      <c r="C133" s="132" t="s">
        <v>1135</v>
      </c>
      <c r="D133" s="131" t="s">
        <v>1136</v>
      </c>
      <c r="E133" s="131" t="s">
        <v>1137</v>
      </c>
      <c r="F133" s="131" t="s">
        <v>1138</v>
      </c>
      <c r="G133" s="131" t="s">
        <v>1139</v>
      </c>
      <c r="H133" s="133" t="s">
        <v>1140</v>
      </c>
      <c r="I133" s="131" t="s">
        <v>60</v>
      </c>
      <c r="J133" s="131" t="s">
        <v>61</v>
      </c>
      <c r="K133" s="134" t="s">
        <v>1141</v>
      </c>
      <c r="L133" s="134" t="s">
        <v>1142</v>
      </c>
      <c r="M133" s="134" t="s">
        <v>1014</v>
      </c>
      <c r="N133" s="134" t="s">
        <v>76</v>
      </c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</row>
    <row r="134" ht="22.5" customHeight="1" spans="1:34">
      <c r="A134" s="135">
        <v>131</v>
      </c>
      <c r="B134" s="136" t="s">
        <v>938</v>
      </c>
      <c r="C134" s="137" t="s">
        <v>1143</v>
      </c>
      <c r="D134" s="136" t="s">
        <v>1144</v>
      </c>
      <c r="E134" s="136" t="s">
        <v>1145</v>
      </c>
      <c r="F134" s="136" t="s">
        <v>1146</v>
      </c>
      <c r="G134" s="136" t="s">
        <v>1147</v>
      </c>
      <c r="H134" s="138" t="s">
        <v>1148</v>
      </c>
      <c r="I134" s="136" t="s">
        <v>60</v>
      </c>
      <c r="J134" s="136" t="s">
        <v>92</v>
      </c>
      <c r="K134" s="139" t="s">
        <v>1149</v>
      </c>
      <c r="L134" s="139" t="s">
        <v>1150</v>
      </c>
      <c r="M134" s="139" t="s">
        <v>981</v>
      </c>
      <c r="N134" s="139" t="s">
        <v>76</v>
      </c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</row>
    <row r="135" ht="22.5" customHeight="1" spans="1:34">
      <c r="A135" s="130">
        <v>132</v>
      </c>
      <c r="B135" s="131" t="s">
        <v>938</v>
      </c>
      <c r="C135" s="132" t="s">
        <v>1151</v>
      </c>
      <c r="D135" s="131" t="s">
        <v>1152</v>
      </c>
      <c r="E135" s="131" t="s">
        <v>1153</v>
      </c>
      <c r="F135" s="131" t="s">
        <v>1154</v>
      </c>
      <c r="G135" s="131" t="s">
        <v>1155</v>
      </c>
      <c r="H135" s="133" t="s">
        <v>1156</v>
      </c>
      <c r="I135" s="131" t="s">
        <v>60</v>
      </c>
      <c r="J135" s="131" t="s">
        <v>61</v>
      </c>
      <c r="K135" s="134" t="s">
        <v>962</v>
      </c>
      <c r="L135" s="134" t="s">
        <v>1157</v>
      </c>
      <c r="M135" s="134" t="s">
        <v>964</v>
      </c>
      <c r="N135" s="134" t="s">
        <v>76</v>
      </c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</row>
    <row r="136" ht="22.5" customHeight="1" spans="1:34">
      <c r="A136" s="135">
        <v>133</v>
      </c>
      <c r="B136" s="136" t="s">
        <v>1158</v>
      </c>
      <c r="C136" s="137" t="s">
        <v>1159</v>
      </c>
      <c r="D136" s="136" t="s">
        <v>1160</v>
      </c>
      <c r="E136" s="136" t="s">
        <v>1161</v>
      </c>
      <c r="F136" s="136" t="s">
        <v>1162</v>
      </c>
      <c r="G136" s="136" t="s">
        <v>1163</v>
      </c>
      <c r="H136" s="138" t="s">
        <v>1164</v>
      </c>
      <c r="I136" s="136" t="s">
        <v>60</v>
      </c>
      <c r="J136" s="136" t="s">
        <v>92</v>
      </c>
      <c r="K136" s="139" t="s">
        <v>1165</v>
      </c>
      <c r="L136" s="139" t="s">
        <v>1166</v>
      </c>
      <c r="M136" s="139"/>
      <c r="N136" s="139" t="s">
        <v>76</v>
      </c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</row>
    <row r="137" ht="22.5" customHeight="1" spans="1:34">
      <c r="A137" s="130">
        <v>134</v>
      </c>
      <c r="B137" s="131" t="s">
        <v>1158</v>
      </c>
      <c r="C137" s="132" t="s">
        <v>1167</v>
      </c>
      <c r="D137" s="131" t="s">
        <v>1168</v>
      </c>
      <c r="E137" s="131" t="s">
        <v>1169</v>
      </c>
      <c r="F137" s="131" t="s">
        <v>1170</v>
      </c>
      <c r="G137" s="131" t="s">
        <v>986</v>
      </c>
      <c r="H137" s="133" t="s">
        <v>1171</v>
      </c>
      <c r="I137" s="131" t="s">
        <v>60</v>
      </c>
      <c r="J137" s="131" t="s">
        <v>92</v>
      </c>
      <c r="K137" s="134" t="s">
        <v>1172</v>
      </c>
      <c r="L137" s="134" t="s">
        <v>84</v>
      </c>
      <c r="M137" s="134"/>
      <c r="N137" s="134" t="s">
        <v>76</v>
      </c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</row>
    <row r="138" ht="22.5" customHeight="1" spans="1:34">
      <c r="A138" s="135">
        <v>135</v>
      </c>
      <c r="B138" s="136" t="s">
        <v>1158</v>
      </c>
      <c r="C138" s="137" t="s">
        <v>1173</v>
      </c>
      <c r="D138" s="136" t="s">
        <v>1174</v>
      </c>
      <c r="E138" s="136" t="s">
        <v>1175</v>
      </c>
      <c r="F138" s="136" t="s">
        <v>1176</v>
      </c>
      <c r="G138" s="136" t="s">
        <v>1177</v>
      </c>
      <c r="H138" s="138" t="s">
        <v>1178</v>
      </c>
      <c r="I138" s="136" t="s">
        <v>60</v>
      </c>
      <c r="J138" s="136" t="s">
        <v>61</v>
      </c>
      <c r="K138" s="139" t="s">
        <v>1179</v>
      </c>
      <c r="L138" s="139" t="s">
        <v>1180</v>
      </c>
      <c r="M138" s="139" t="s">
        <v>1181</v>
      </c>
      <c r="N138" s="139" t="s">
        <v>76</v>
      </c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</row>
    <row r="139" ht="22.5" customHeight="1" spans="1:34">
      <c r="A139" s="130">
        <v>136</v>
      </c>
      <c r="B139" s="131" t="s">
        <v>1158</v>
      </c>
      <c r="C139" s="132" t="s">
        <v>1182</v>
      </c>
      <c r="D139" s="131" t="s">
        <v>1183</v>
      </c>
      <c r="E139" s="131" t="s">
        <v>1184</v>
      </c>
      <c r="F139" s="131" t="s">
        <v>1185</v>
      </c>
      <c r="G139" s="131" t="s">
        <v>1186</v>
      </c>
      <c r="H139" s="133" t="s">
        <v>1187</v>
      </c>
      <c r="I139" s="131" t="s">
        <v>60</v>
      </c>
      <c r="J139" s="131" t="s">
        <v>61</v>
      </c>
      <c r="K139" s="134" t="s">
        <v>1188</v>
      </c>
      <c r="L139" s="134" t="s">
        <v>1180</v>
      </c>
      <c r="M139" s="134" t="s">
        <v>1181</v>
      </c>
      <c r="N139" s="134" t="s">
        <v>76</v>
      </c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</row>
    <row r="140" ht="22.5" customHeight="1" spans="1:34">
      <c r="A140" s="135">
        <v>137</v>
      </c>
      <c r="B140" s="136" t="s">
        <v>1158</v>
      </c>
      <c r="C140" s="137" t="s">
        <v>1189</v>
      </c>
      <c r="D140" s="136" t="s">
        <v>1190</v>
      </c>
      <c r="E140" s="136" t="s">
        <v>1191</v>
      </c>
      <c r="F140" s="136" t="s">
        <v>1192</v>
      </c>
      <c r="G140" s="136" t="s">
        <v>1193</v>
      </c>
      <c r="H140" s="138" t="s">
        <v>1194</v>
      </c>
      <c r="I140" s="136" t="s">
        <v>60</v>
      </c>
      <c r="J140" s="136" t="s">
        <v>61</v>
      </c>
      <c r="K140" s="139" t="s">
        <v>1195</v>
      </c>
      <c r="L140" s="139" t="s">
        <v>1196</v>
      </c>
      <c r="M140" s="139" t="s">
        <v>1197</v>
      </c>
      <c r="N140" s="139" t="s">
        <v>76</v>
      </c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</row>
    <row r="141" ht="22.5" customHeight="1" spans="1:34">
      <c r="A141" s="130">
        <v>138</v>
      </c>
      <c r="B141" s="131" t="s">
        <v>1158</v>
      </c>
      <c r="C141" s="132" t="s">
        <v>1198</v>
      </c>
      <c r="D141" s="131" t="s">
        <v>1199</v>
      </c>
      <c r="E141" s="131" t="s">
        <v>1200</v>
      </c>
      <c r="F141" s="131" t="s">
        <v>1201</v>
      </c>
      <c r="G141" s="131" t="s">
        <v>1202</v>
      </c>
      <c r="H141" s="133" t="s">
        <v>1203</v>
      </c>
      <c r="I141" s="131" t="s">
        <v>60</v>
      </c>
      <c r="J141" s="131" t="s">
        <v>92</v>
      </c>
      <c r="K141" s="134" t="s">
        <v>1204</v>
      </c>
      <c r="L141" s="134" t="s">
        <v>1205</v>
      </c>
      <c r="M141" s="134" t="s">
        <v>763</v>
      </c>
      <c r="N141" s="134" t="s">
        <v>76</v>
      </c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</row>
    <row r="142" ht="22.5" customHeight="1" spans="1:34">
      <c r="A142" s="135">
        <v>139</v>
      </c>
      <c r="B142" s="136" t="s">
        <v>1158</v>
      </c>
      <c r="C142" s="137" t="s">
        <v>1206</v>
      </c>
      <c r="D142" s="136" t="s">
        <v>1207</v>
      </c>
      <c r="E142" s="136" t="s">
        <v>1208</v>
      </c>
      <c r="F142" s="136" t="s">
        <v>1209</v>
      </c>
      <c r="G142" s="136" t="s">
        <v>1210</v>
      </c>
      <c r="H142" s="138" t="s">
        <v>1211</v>
      </c>
      <c r="I142" s="136" t="s">
        <v>60</v>
      </c>
      <c r="J142" s="136" t="s">
        <v>92</v>
      </c>
      <c r="K142" s="139" t="s">
        <v>1212</v>
      </c>
      <c r="L142" s="139" t="s">
        <v>1213</v>
      </c>
      <c r="M142" s="139" t="s">
        <v>981</v>
      </c>
      <c r="N142" s="139" t="s">
        <v>76</v>
      </c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</row>
    <row r="143" ht="22.5" customHeight="1" spans="1:34">
      <c r="A143" s="130">
        <v>140</v>
      </c>
      <c r="B143" s="131" t="s">
        <v>1158</v>
      </c>
      <c r="C143" s="132" t="s">
        <v>1214</v>
      </c>
      <c r="D143" s="131" t="s">
        <v>1215</v>
      </c>
      <c r="E143" s="131" t="s">
        <v>1216</v>
      </c>
      <c r="F143" s="131" t="s">
        <v>1217</v>
      </c>
      <c r="G143" s="131" t="s">
        <v>1218</v>
      </c>
      <c r="H143" s="133" t="s">
        <v>1219</v>
      </c>
      <c r="I143" s="131" t="s">
        <v>60</v>
      </c>
      <c r="J143" s="131" t="s">
        <v>61</v>
      </c>
      <c r="K143" s="134" t="s">
        <v>1220</v>
      </c>
      <c r="L143" s="134" t="s">
        <v>1221</v>
      </c>
      <c r="M143" s="134" t="s">
        <v>838</v>
      </c>
      <c r="N143" s="134" t="s">
        <v>76</v>
      </c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</row>
    <row r="144" ht="22.5" customHeight="1" spans="1:34">
      <c r="A144" s="135">
        <v>141</v>
      </c>
      <c r="B144" s="136" t="s">
        <v>1158</v>
      </c>
      <c r="C144" s="137" t="s">
        <v>1222</v>
      </c>
      <c r="D144" s="136" t="s">
        <v>1223</v>
      </c>
      <c r="E144" s="136" t="s">
        <v>1224</v>
      </c>
      <c r="F144" s="136" t="s">
        <v>1225</v>
      </c>
      <c r="G144" s="136" t="s">
        <v>1226</v>
      </c>
      <c r="H144" s="138" t="s">
        <v>1227</v>
      </c>
      <c r="I144" s="136" t="s">
        <v>60</v>
      </c>
      <c r="J144" s="136" t="s">
        <v>61</v>
      </c>
      <c r="K144" s="139" t="s">
        <v>1228</v>
      </c>
      <c r="L144" s="139" t="s">
        <v>1229</v>
      </c>
      <c r="M144" s="139" t="s">
        <v>981</v>
      </c>
      <c r="N144" s="139" t="s">
        <v>76</v>
      </c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</row>
    <row r="145" ht="22.5" customHeight="1" spans="1:34">
      <c r="A145" s="130">
        <v>142</v>
      </c>
      <c r="B145" s="131" t="s">
        <v>1158</v>
      </c>
      <c r="C145" s="132" t="s">
        <v>1230</v>
      </c>
      <c r="D145" s="131" t="s">
        <v>1231</v>
      </c>
      <c r="E145" s="131" t="s">
        <v>1232</v>
      </c>
      <c r="F145" s="131" t="s">
        <v>1233</v>
      </c>
      <c r="G145" s="131" t="s">
        <v>1234</v>
      </c>
      <c r="H145" s="133" t="s">
        <v>1235</v>
      </c>
      <c r="I145" s="131" t="s">
        <v>60</v>
      </c>
      <c r="J145" s="131" t="s">
        <v>61</v>
      </c>
      <c r="K145" s="134" t="s">
        <v>1236</v>
      </c>
      <c r="L145" s="134" t="s">
        <v>1237</v>
      </c>
      <c r="M145" s="134" t="s">
        <v>1238</v>
      </c>
      <c r="N145" s="134" t="s">
        <v>76</v>
      </c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</row>
    <row r="146" ht="22.5" customHeight="1" spans="1:34">
      <c r="A146" s="135">
        <v>143</v>
      </c>
      <c r="B146" s="136" t="s">
        <v>1158</v>
      </c>
      <c r="C146" s="137" t="s">
        <v>1239</v>
      </c>
      <c r="D146" s="136" t="s">
        <v>1240</v>
      </c>
      <c r="E146" s="136" t="s">
        <v>1241</v>
      </c>
      <c r="F146" s="136" t="s">
        <v>1242</v>
      </c>
      <c r="G146" s="136" t="s">
        <v>1243</v>
      </c>
      <c r="H146" s="138" t="s">
        <v>1244</v>
      </c>
      <c r="I146" s="136" t="s">
        <v>60</v>
      </c>
      <c r="J146" s="136" t="s">
        <v>61</v>
      </c>
      <c r="K146" s="139" t="s">
        <v>1245</v>
      </c>
      <c r="L146" s="139" t="s">
        <v>1246</v>
      </c>
      <c r="M146" s="139" t="s">
        <v>838</v>
      </c>
      <c r="N146" s="139" t="s">
        <v>76</v>
      </c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</row>
    <row r="147" ht="22.5" customHeight="1" spans="1:34">
      <c r="A147" s="130">
        <v>144</v>
      </c>
      <c r="B147" s="131" t="s">
        <v>1158</v>
      </c>
      <c r="C147" s="132" t="s">
        <v>1247</v>
      </c>
      <c r="D147" s="131" t="s">
        <v>1248</v>
      </c>
      <c r="E147" s="131" t="s">
        <v>1249</v>
      </c>
      <c r="F147" s="131" t="s">
        <v>1250</v>
      </c>
      <c r="G147" s="131" t="s">
        <v>1251</v>
      </c>
      <c r="H147" s="133" t="s">
        <v>1252</v>
      </c>
      <c r="I147" s="131" t="s">
        <v>60</v>
      </c>
      <c r="J147" s="131" t="s">
        <v>61</v>
      </c>
      <c r="K147" s="134" t="s">
        <v>1253</v>
      </c>
      <c r="L147" s="134" t="s">
        <v>1254</v>
      </c>
      <c r="M147" s="134" t="s">
        <v>1255</v>
      </c>
      <c r="N147" s="134" t="s">
        <v>76</v>
      </c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</row>
    <row r="148" ht="22.5" customHeight="1" spans="1:34">
      <c r="A148" s="135">
        <v>145</v>
      </c>
      <c r="B148" s="136" t="s">
        <v>1158</v>
      </c>
      <c r="C148" s="137" t="s">
        <v>1256</v>
      </c>
      <c r="D148" s="136" t="s">
        <v>1257</v>
      </c>
      <c r="E148" s="136" t="s">
        <v>1258</v>
      </c>
      <c r="F148" s="136" t="s">
        <v>1259</v>
      </c>
      <c r="G148" s="136" t="s">
        <v>1260</v>
      </c>
      <c r="H148" s="138" t="s">
        <v>1261</v>
      </c>
      <c r="I148" s="136" t="s">
        <v>60</v>
      </c>
      <c r="J148" s="136" t="s">
        <v>61</v>
      </c>
      <c r="K148" s="139" t="s">
        <v>1262</v>
      </c>
      <c r="L148" s="139" t="s">
        <v>1263</v>
      </c>
      <c r="M148" s="139" t="s">
        <v>1238</v>
      </c>
      <c r="N148" s="139" t="s">
        <v>76</v>
      </c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</row>
    <row r="149" ht="22.5" customHeight="1" spans="1:34">
      <c r="A149" s="130">
        <v>146</v>
      </c>
      <c r="B149" s="131" t="s">
        <v>1158</v>
      </c>
      <c r="C149" s="132" t="s">
        <v>1264</v>
      </c>
      <c r="D149" s="131" t="s">
        <v>1265</v>
      </c>
      <c r="E149" s="131" t="s">
        <v>1266</v>
      </c>
      <c r="F149" s="131" t="s">
        <v>1267</v>
      </c>
      <c r="G149" s="131" t="s">
        <v>1268</v>
      </c>
      <c r="H149" s="133" t="s">
        <v>1269</v>
      </c>
      <c r="I149" s="131" t="s">
        <v>60</v>
      </c>
      <c r="J149" s="131" t="s">
        <v>61</v>
      </c>
      <c r="K149" s="134" t="s">
        <v>1270</v>
      </c>
      <c r="L149" s="134" t="s">
        <v>780</v>
      </c>
      <c r="M149" s="134" t="s">
        <v>1238</v>
      </c>
      <c r="N149" s="134" t="s">
        <v>76</v>
      </c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</row>
    <row r="150" ht="22.5" customHeight="1" spans="1:34">
      <c r="A150" s="135">
        <v>147</v>
      </c>
      <c r="B150" s="136" t="s">
        <v>1158</v>
      </c>
      <c r="C150" s="137" t="s">
        <v>1271</v>
      </c>
      <c r="D150" s="136" t="s">
        <v>1272</v>
      </c>
      <c r="E150" s="136" t="s">
        <v>1273</v>
      </c>
      <c r="F150" s="136" t="s">
        <v>1274</v>
      </c>
      <c r="G150" s="136" t="s">
        <v>1275</v>
      </c>
      <c r="H150" s="138" t="s">
        <v>1276</v>
      </c>
      <c r="I150" s="136" t="s">
        <v>60</v>
      </c>
      <c r="J150" s="136" t="s">
        <v>61</v>
      </c>
      <c r="K150" s="139" t="s">
        <v>1277</v>
      </c>
      <c r="L150" s="139" t="s">
        <v>1278</v>
      </c>
      <c r="M150" s="139" t="s">
        <v>838</v>
      </c>
      <c r="N150" s="139" t="s">
        <v>76</v>
      </c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</row>
    <row r="151" ht="22.5" customHeight="1" spans="1:34">
      <c r="A151" s="130">
        <v>148</v>
      </c>
      <c r="B151" s="131" t="s">
        <v>1158</v>
      </c>
      <c r="C151" s="132" t="s">
        <v>1279</v>
      </c>
      <c r="D151" s="131" t="s">
        <v>1280</v>
      </c>
      <c r="E151" s="131" t="s">
        <v>1281</v>
      </c>
      <c r="F151" s="131" t="s">
        <v>1282</v>
      </c>
      <c r="G151" s="131" t="s">
        <v>1283</v>
      </c>
      <c r="H151" s="133" t="s">
        <v>1284</v>
      </c>
      <c r="I151" s="131" t="s">
        <v>60</v>
      </c>
      <c r="J151" s="131" t="s">
        <v>61</v>
      </c>
      <c r="K151" s="134" t="s">
        <v>1285</v>
      </c>
      <c r="L151" s="134" t="s">
        <v>1286</v>
      </c>
      <c r="M151" s="134" t="s">
        <v>1181</v>
      </c>
      <c r="N151" s="134" t="s">
        <v>76</v>
      </c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</row>
    <row r="152" ht="22.5" customHeight="1" spans="1:34">
      <c r="A152" s="135">
        <v>149</v>
      </c>
      <c r="B152" s="136" t="s">
        <v>1158</v>
      </c>
      <c r="C152" s="137" t="s">
        <v>1287</v>
      </c>
      <c r="D152" s="136" t="s">
        <v>1288</v>
      </c>
      <c r="E152" s="136" t="s">
        <v>1289</v>
      </c>
      <c r="F152" s="136" t="s">
        <v>1290</v>
      </c>
      <c r="G152" s="136" t="s">
        <v>1291</v>
      </c>
      <c r="H152" s="138" t="s">
        <v>1292</v>
      </c>
      <c r="I152" s="136" t="s">
        <v>60</v>
      </c>
      <c r="J152" s="136" t="s">
        <v>61</v>
      </c>
      <c r="K152" s="139" t="s">
        <v>1293</v>
      </c>
      <c r="L152" s="139" t="s">
        <v>1294</v>
      </c>
      <c r="M152" s="139" t="s">
        <v>1238</v>
      </c>
      <c r="N152" s="139" t="s">
        <v>76</v>
      </c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</row>
    <row r="153" ht="22.5" customHeight="1" spans="1:34">
      <c r="A153" s="130">
        <v>150</v>
      </c>
      <c r="B153" s="131" t="s">
        <v>1158</v>
      </c>
      <c r="C153" s="132" t="s">
        <v>1295</v>
      </c>
      <c r="D153" s="131" t="s">
        <v>1296</v>
      </c>
      <c r="E153" s="131" t="s">
        <v>1297</v>
      </c>
      <c r="F153" s="131" t="s">
        <v>1298</v>
      </c>
      <c r="G153" s="131" t="s">
        <v>1299</v>
      </c>
      <c r="H153" s="133" t="s">
        <v>1300</v>
      </c>
      <c r="I153" s="131" t="s">
        <v>60</v>
      </c>
      <c r="J153" s="131" t="s">
        <v>61</v>
      </c>
      <c r="K153" s="134" t="s">
        <v>1301</v>
      </c>
      <c r="L153" s="134" t="s">
        <v>1302</v>
      </c>
      <c r="M153" s="134" t="s">
        <v>1181</v>
      </c>
      <c r="N153" s="134" t="s">
        <v>76</v>
      </c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</row>
    <row r="154" ht="22.5" customHeight="1" spans="1:34">
      <c r="A154" s="135">
        <v>151</v>
      </c>
      <c r="B154" s="136" t="s">
        <v>1158</v>
      </c>
      <c r="C154" s="137" t="s">
        <v>1303</v>
      </c>
      <c r="D154" s="136" t="s">
        <v>1304</v>
      </c>
      <c r="E154" s="136" t="s">
        <v>1305</v>
      </c>
      <c r="F154" s="136" t="s">
        <v>1306</v>
      </c>
      <c r="G154" s="136" t="s">
        <v>1307</v>
      </c>
      <c r="H154" s="138" t="s">
        <v>1308</v>
      </c>
      <c r="I154" s="136" t="s">
        <v>60</v>
      </c>
      <c r="J154" s="136" t="s">
        <v>61</v>
      </c>
      <c r="K154" s="139" t="s">
        <v>1309</v>
      </c>
      <c r="L154" s="139" t="s">
        <v>1310</v>
      </c>
      <c r="M154" s="139" t="s">
        <v>838</v>
      </c>
      <c r="N154" s="139" t="s">
        <v>76</v>
      </c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</row>
    <row r="155" ht="22.5" customHeight="1" spans="1:34">
      <c r="A155" s="130">
        <v>152</v>
      </c>
      <c r="B155" s="131" t="s">
        <v>1158</v>
      </c>
      <c r="C155" s="132" t="s">
        <v>1311</v>
      </c>
      <c r="D155" s="131" t="s">
        <v>1312</v>
      </c>
      <c r="E155" s="131" t="s">
        <v>1313</v>
      </c>
      <c r="F155" s="131" t="s">
        <v>1314</v>
      </c>
      <c r="G155" s="131" t="s">
        <v>1315</v>
      </c>
      <c r="H155" s="133" t="s">
        <v>1316</v>
      </c>
      <c r="I155" s="131" t="s">
        <v>60</v>
      </c>
      <c r="J155" s="131" t="s">
        <v>61</v>
      </c>
      <c r="K155" s="134" t="s">
        <v>1317</v>
      </c>
      <c r="L155" s="134" t="s">
        <v>1318</v>
      </c>
      <c r="M155" s="134" t="s">
        <v>1181</v>
      </c>
      <c r="N155" s="134" t="s">
        <v>76</v>
      </c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</row>
    <row r="156" ht="22.5" customHeight="1" spans="1:34">
      <c r="A156" s="135">
        <v>153</v>
      </c>
      <c r="B156" s="136" t="s">
        <v>1158</v>
      </c>
      <c r="C156" s="137" t="s">
        <v>1319</v>
      </c>
      <c r="D156" s="136" t="s">
        <v>1320</v>
      </c>
      <c r="E156" s="136" t="s">
        <v>1321</v>
      </c>
      <c r="F156" s="136" t="s">
        <v>1322</v>
      </c>
      <c r="G156" s="136" t="s">
        <v>1323</v>
      </c>
      <c r="H156" s="138" t="s">
        <v>1324</v>
      </c>
      <c r="I156" s="136" t="s">
        <v>60</v>
      </c>
      <c r="J156" s="136" t="s">
        <v>92</v>
      </c>
      <c r="K156" s="139" t="s">
        <v>1325</v>
      </c>
      <c r="L156" s="139" t="s">
        <v>1326</v>
      </c>
      <c r="M156" s="139" t="s">
        <v>1255</v>
      </c>
      <c r="N156" s="139" t="s">
        <v>76</v>
      </c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</row>
    <row r="157" ht="22.5" customHeight="1" spans="1:34">
      <c r="A157" s="130"/>
      <c r="B157" s="131"/>
      <c r="C157" s="132"/>
      <c r="D157" s="131"/>
      <c r="E157" s="131"/>
      <c r="F157" s="131"/>
      <c r="G157" s="131"/>
      <c r="H157" s="133"/>
      <c r="I157" s="131"/>
      <c r="J157" s="131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</row>
    <row r="158" ht="22.5" customHeight="1" spans="1:34">
      <c r="A158" s="135"/>
      <c r="B158" s="136"/>
      <c r="C158" s="137"/>
      <c r="D158" s="136"/>
      <c r="E158" s="136"/>
      <c r="F158" s="136"/>
      <c r="G158" s="136"/>
      <c r="H158" s="138"/>
      <c r="I158" s="136"/>
      <c r="J158" s="136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</row>
    <row r="159" ht="22.5" customHeight="1" spans="1:34">
      <c r="A159" s="130"/>
      <c r="B159" s="131"/>
      <c r="C159" s="132"/>
      <c r="D159" s="131"/>
      <c r="E159" s="131"/>
      <c r="F159" s="131"/>
      <c r="G159" s="131"/>
      <c r="H159" s="133"/>
      <c r="I159" s="131"/>
      <c r="J159" s="131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</row>
    <row r="160" ht="22.5" customHeight="1" spans="1:34">
      <c r="A160" s="135"/>
      <c r="B160" s="136"/>
      <c r="C160" s="137"/>
      <c r="D160" s="136"/>
      <c r="E160" s="136"/>
      <c r="F160" s="136"/>
      <c r="G160" s="136"/>
      <c r="H160" s="138"/>
      <c r="I160" s="136"/>
      <c r="J160" s="136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</row>
    <row r="161" ht="22.5" customHeight="1" spans="1:34">
      <c r="A161" s="130"/>
      <c r="B161" s="131"/>
      <c r="C161" s="132"/>
      <c r="D161" s="131"/>
      <c r="E161" s="131"/>
      <c r="F161" s="131"/>
      <c r="G161" s="131"/>
      <c r="H161" s="133"/>
      <c r="I161" s="131"/>
      <c r="J161" s="131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  <c r="AC161" s="134"/>
      <c r="AD161" s="134"/>
      <c r="AE161" s="134"/>
      <c r="AF161" s="134"/>
      <c r="AG161" s="134"/>
      <c r="AH161" s="134"/>
    </row>
    <row r="162" ht="22.5" customHeight="1" spans="1:34">
      <c r="A162" s="135"/>
      <c r="B162" s="136"/>
      <c r="C162" s="137"/>
      <c r="D162" s="136"/>
      <c r="E162" s="136"/>
      <c r="F162" s="136"/>
      <c r="G162" s="136"/>
      <c r="H162" s="138"/>
      <c r="I162" s="136"/>
      <c r="J162" s="136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</row>
    <row r="163" ht="22.5" customHeight="1" spans="1:34">
      <c r="A163" s="130"/>
      <c r="B163" s="131"/>
      <c r="C163" s="132"/>
      <c r="D163" s="131"/>
      <c r="E163" s="131"/>
      <c r="F163" s="131"/>
      <c r="G163" s="131"/>
      <c r="H163" s="133"/>
      <c r="I163" s="131"/>
      <c r="J163" s="131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</row>
    <row r="164" ht="22.5" customHeight="1" spans="1:34">
      <c r="A164" s="135"/>
      <c r="B164" s="136"/>
      <c r="C164" s="137"/>
      <c r="D164" s="136"/>
      <c r="E164" s="136"/>
      <c r="F164" s="136"/>
      <c r="G164" s="136"/>
      <c r="H164" s="138"/>
      <c r="I164" s="136"/>
      <c r="J164" s="136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</row>
    <row r="165" ht="22.5" customHeight="1" spans="1:34">
      <c r="A165" s="130"/>
      <c r="B165" s="131"/>
      <c r="C165" s="132"/>
      <c r="D165" s="131"/>
      <c r="E165" s="131"/>
      <c r="F165" s="131"/>
      <c r="G165" s="131"/>
      <c r="H165" s="133"/>
      <c r="I165" s="131"/>
      <c r="J165" s="131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</row>
    <row r="166" ht="22.5" customHeight="1" spans="1:34">
      <c r="A166" s="135"/>
      <c r="B166" s="136"/>
      <c r="C166" s="137"/>
      <c r="D166" s="136"/>
      <c r="E166" s="136"/>
      <c r="F166" s="136"/>
      <c r="G166" s="136"/>
      <c r="H166" s="138"/>
      <c r="I166" s="136"/>
      <c r="J166" s="136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</row>
    <row r="167" ht="22.5" customHeight="1" spans="1:34">
      <c r="A167" s="130"/>
      <c r="B167" s="131"/>
      <c r="C167" s="132"/>
      <c r="D167" s="131"/>
      <c r="E167" s="131"/>
      <c r="F167" s="131"/>
      <c r="G167" s="131"/>
      <c r="H167" s="133"/>
      <c r="I167" s="131"/>
      <c r="J167" s="131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</row>
    <row r="168" ht="22.5" customHeight="1" spans="1:34">
      <c r="A168" s="135"/>
      <c r="B168" s="136"/>
      <c r="C168" s="137"/>
      <c r="D168" s="136"/>
      <c r="E168" s="136"/>
      <c r="F168" s="136"/>
      <c r="G168" s="136"/>
      <c r="H168" s="138"/>
      <c r="I168" s="136"/>
      <c r="J168" s="136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</row>
    <row r="169" ht="22.5" customHeight="1" spans="1:34">
      <c r="A169" s="130"/>
      <c r="B169" s="131"/>
      <c r="C169" s="132"/>
      <c r="D169" s="131"/>
      <c r="E169" s="131"/>
      <c r="F169" s="131"/>
      <c r="G169" s="131"/>
      <c r="H169" s="133"/>
      <c r="I169" s="131"/>
      <c r="J169" s="131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</row>
    <row r="170" ht="22.5" customHeight="1" spans="1:34">
      <c r="A170" s="135"/>
      <c r="B170" s="136"/>
      <c r="C170" s="137"/>
      <c r="D170" s="136"/>
      <c r="E170" s="136"/>
      <c r="F170" s="136"/>
      <c r="G170" s="136"/>
      <c r="H170" s="138"/>
      <c r="I170" s="136"/>
      <c r="J170" s="136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</row>
    <row r="171" ht="22.5" customHeight="1" spans="1:34">
      <c r="A171" s="130"/>
      <c r="B171" s="131"/>
      <c r="C171" s="132"/>
      <c r="D171" s="131"/>
      <c r="E171" s="131"/>
      <c r="F171" s="131"/>
      <c r="G171" s="131"/>
      <c r="H171" s="133"/>
      <c r="I171" s="131"/>
      <c r="J171" s="131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</row>
    <row r="172" ht="22.5" customHeight="1" spans="1:34">
      <c r="A172" s="135"/>
      <c r="B172" s="136"/>
      <c r="C172" s="137"/>
      <c r="D172" s="136"/>
      <c r="E172" s="136"/>
      <c r="F172" s="136"/>
      <c r="G172" s="136"/>
      <c r="H172" s="138"/>
      <c r="I172" s="136"/>
      <c r="J172" s="136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</row>
    <row r="173" ht="22.5" customHeight="1" spans="1:34">
      <c r="A173" s="130"/>
      <c r="B173" s="131"/>
      <c r="C173" s="132"/>
      <c r="D173" s="131"/>
      <c r="E173" s="131"/>
      <c r="F173" s="131"/>
      <c r="G173" s="131"/>
      <c r="H173" s="133"/>
      <c r="I173" s="131"/>
      <c r="J173" s="131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</row>
    <row r="174" ht="22.5" customHeight="1" spans="1:34">
      <c r="A174" s="135"/>
      <c r="B174" s="136"/>
      <c r="C174" s="137"/>
      <c r="D174" s="136"/>
      <c r="E174" s="136"/>
      <c r="F174" s="136"/>
      <c r="G174" s="136"/>
      <c r="H174" s="138"/>
      <c r="I174" s="136"/>
      <c r="J174" s="136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</row>
    <row r="175" ht="22.5" customHeight="1" spans="1:34">
      <c r="A175" s="130"/>
      <c r="B175" s="131"/>
      <c r="C175" s="132"/>
      <c r="D175" s="131"/>
      <c r="E175" s="131"/>
      <c r="F175" s="131"/>
      <c r="G175" s="131"/>
      <c r="H175" s="133"/>
      <c r="I175" s="131"/>
      <c r="J175" s="131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</row>
    <row r="176" ht="22.5" customHeight="1" spans="1:34">
      <c r="A176" s="135"/>
      <c r="B176" s="136"/>
      <c r="C176" s="137"/>
      <c r="D176" s="136"/>
      <c r="E176" s="136"/>
      <c r="F176" s="136"/>
      <c r="G176" s="136"/>
      <c r="H176" s="138"/>
      <c r="I176" s="136"/>
      <c r="J176" s="136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</row>
    <row r="177" ht="22.5" customHeight="1" spans="1:34">
      <c r="A177" s="130"/>
      <c r="B177" s="131"/>
      <c r="C177" s="132"/>
      <c r="D177" s="131"/>
      <c r="E177" s="131"/>
      <c r="F177" s="131"/>
      <c r="G177" s="131"/>
      <c r="H177" s="133"/>
      <c r="I177" s="131"/>
      <c r="J177" s="131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</row>
    <row r="178" ht="22.5" customHeight="1" spans="1:34">
      <c r="A178" s="135"/>
      <c r="B178" s="136"/>
      <c r="C178" s="137"/>
      <c r="D178" s="136"/>
      <c r="E178" s="136"/>
      <c r="F178" s="136"/>
      <c r="G178" s="136"/>
      <c r="H178" s="138"/>
      <c r="I178" s="136"/>
      <c r="J178" s="136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</row>
    <row r="179" ht="22.5" customHeight="1" spans="1:34">
      <c r="A179" s="130"/>
      <c r="B179" s="131"/>
      <c r="C179" s="132"/>
      <c r="D179" s="131"/>
      <c r="E179" s="131"/>
      <c r="F179" s="131"/>
      <c r="G179" s="131"/>
      <c r="H179" s="133"/>
      <c r="I179" s="131"/>
      <c r="J179" s="131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</row>
    <row r="180" ht="22.5" customHeight="1" spans="1:34">
      <c r="A180" s="135"/>
      <c r="B180" s="136"/>
      <c r="C180" s="137"/>
      <c r="D180" s="136"/>
      <c r="E180" s="136"/>
      <c r="F180" s="136"/>
      <c r="G180" s="136"/>
      <c r="H180" s="138"/>
      <c r="I180" s="136"/>
      <c r="J180" s="136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</row>
    <row r="181" ht="22.5" customHeight="1" spans="1:34">
      <c r="A181" s="130"/>
      <c r="B181" s="131"/>
      <c r="C181" s="132"/>
      <c r="D181" s="131"/>
      <c r="E181" s="131"/>
      <c r="F181" s="131"/>
      <c r="G181" s="131"/>
      <c r="H181" s="133"/>
      <c r="I181" s="131"/>
      <c r="J181" s="131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</row>
    <row r="182" ht="22.5" customHeight="1" spans="1:34">
      <c r="A182" s="135"/>
      <c r="B182" s="136"/>
      <c r="C182" s="137"/>
      <c r="D182" s="136"/>
      <c r="E182" s="136"/>
      <c r="F182" s="136"/>
      <c r="G182" s="136"/>
      <c r="H182" s="138"/>
      <c r="I182" s="136"/>
      <c r="J182" s="136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</row>
    <row r="183" ht="22.5" customHeight="1" spans="1:34">
      <c r="A183" s="130"/>
      <c r="B183" s="131"/>
      <c r="C183" s="132"/>
      <c r="D183" s="131"/>
      <c r="E183" s="131"/>
      <c r="F183" s="131"/>
      <c r="G183" s="131"/>
      <c r="H183" s="133"/>
      <c r="I183" s="131"/>
      <c r="J183" s="131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</row>
    <row r="184" ht="22.5" customHeight="1" spans="1:34">
      <c r="A184" s="135"/>
      <c r="B184" s="136"/>
      <c r="C184" s="137"/>
      <c r="D184" s="136"/>
      <c r="E184" s="136"/>
      <c r="F184" s="136"/>
      <c r="G184" s="136"/>
      <c r="H184" s="138"/>
      <c r="I184" s="136"/>
      <c r="J184" s="136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</row>
    <row r="185" ht="22.5" customHeight="1" spans="1:34">
      <c r="A185" s="130"/>
      <c r="B185" s="131"/>
      <c r="C185" s="132"/>
      <c r="D185" s="131"/>
      <c r="E185" s="131"/>
      <c r="F185" s="131"/>
      <c r="G185" s="131"/>
      <c r="H185" s="133"/>
      <c r="I185" s="131"/>
      <c r="J185" s="131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</row>
    <row r="186" ht="22.5" customHeight="1" spans="1:34">
      <c r="A186" s="135"/>
      <c r="B186" s="136"/>
      <c r="C186" s="137"/>
      <c r="D186" s="136"/>
      <c r="E186" s="136"/>
      <c r="F186" s="136"/>
      <c r="G186" s="136"/>
      <c r="H186" s="138"/>
      <c r="I186" s="136"/>
      <c r="J186" s="136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</row>
    <row r="187" ht="22.5" customHeight="1" spans="1:34">
      <c r="A187" s="130"/>
      <c r="B187" s="131"/>
      <c r="C187" s="132"/>
      <c r="D187" s="131"/>
      <c r="E187" s="131"/>
      <c r="F187" s="131"/>
      <c r="G187" s="131"/>
      <c r="H187" s="133"/>
      <c r="I187" s="131"/>
      <c r="J187" s="131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</row>
    <row r="188" ht="22.5" customHeight="1" spans="1:34">
      <c r="A188" s="135"/>
      <c r="B188" s="136"/>
      <c r="C188" s="137"/>
      <c r="D188" s="136"/>
      <c r="E188" s="136"/>
      <c r="F188" s="136"/>
      <c r="G188" s="136"/>
      <c r="H188" s="138"/>
      <c r="I188" s="136"/>
      <c r="J188" s="136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</row>
    <row r="189" ht="22.5" customHeight="1" spans="1:34">
      <c r="A189" s="130"/>
      <c r="B189" s="131"/>
      <c r="C189" s="132"/>
      <c r="D189" s="131"/>
      <c r="E189" s="131"/>
      <c r="F189" s="131"/>
      <c r="G189" s="131"/>
      <c r="H189" s="133"/>
      <c r="I189" s="131"/>
      <c r="J189" s="131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</row>
    <row r="190" ht="22.5" customHeight="1" spans="1:34">
      <c r="A190" s="135"/>
      <c r="B190" s="136"/>
      <c r="C190" s="137"/>
      <c r="D190" s="136"/>
      <c r="E190" s="136"/>
      <c r="F190" s="136"/>
      <c r="G190" s="136"/>
      <c r="H190" s="138"/>
      <c r="I190" s="136"/>
      <c r="J190" s="136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</row>
    <row r="191" ht="22.5" customHeight="1" spans="1:34">
      <c r="A191" s="130"/>
      <c r="B191" s="131"/>
      <c r="C191" s="132"/>
      <c r="D191" s="131"/>
      <c r="E191" s="131"/>
      <c r="F191" s="131"/>
      <c r="G191" s="131"/>
      <c r="H191" s="133"/>
      <c r="I191" s="131"/>
      <c r="J191" s="131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</row>
    <row r="192" ht="22.5" customHeight="1" spans="1:34">
      <c r="A192" s="135"/>
      <c r="B192" s="136"/>
      <c r="C192" s="137"/>
      <c r="D192" s="136"/>
      <c r="E192" s="136"/>
      <c r="F192" s="136"/>
      <c r="G192" s="136"/>
      <c r="H192" s="138"/>
      <c r="I192" s="136"/>
      <c r="J192" s="136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</row>
    <row r="193" ht="22.5" customHeight="1" spans="1:34">
      <c r="A193" s="130"/>
      <c r="B193" s="131"/>
      <c r="C193" s="132"/>
      <c r="D193" s="131"/>
      <c r="E193" s="131"/>
      <c r="F193" s="131"/>
      <c r="G193" s="131"/>
      <c r="H193" s="133"/>
      <c r="I193" s="131"/>
      <c r="J193" s="131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</row>
    <row r="194" ht="22.5" customHeight="1" spans="1:34">
      <c r="A194" s="135"/>
      <c r="B194" s="136"/>
      <c r="C194" s="137"/>
      <c r="D194" s="136"/>
      <c r="E194" s="136"/>
      <c r="F194" s="136"/>
      <c r="G194" s="136"/>
      <c r="H194" s="138"/>
      <c r="I194" s="136"/>
      <c r="J194" s="136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</row>
    <row r="195" ht="22.5" customHeight="1" spans="1:34">
      <c r="A195" s="130"/>
      <c r="B195" s="131"/>
      <c r="C195" s="132"/>
      <c r="D195" s="131"/>
      <c r="E195" s="131"/>
      <c r="F195" s="131"/>
      <c r="G195" s="131"/>
      <c r="H195" s="133"/>
      <c r="I195" s="131"/>
      <c r="J195" s="131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</row>
    <row r="196" ht="22.5" customHeight="1" spans="1:34">
      <c r="A196" s="135"/>
      <c r="B196" s="136"/>
      <c r="C196" s="137"/>
      <c r="D196" s="136"/>
      <c r="E196" s="136"/>
      <c r="F196" s="136"/>
      <c r="G196" s="136"/>
      <c r="H196" s="138"/>
      <c r="I196" s="136"/>
      <c r="J196" s="136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</row>
    <row r="197" ht="22.5" customHeight="1" spans="1:34">
      <c r="A197" s="130"/>
      <c r="B197" s="131"/>
      <c r="C197" s="132"/>
      <c r="D197" s="131"/>
      <c r="E197" s="131"/>
      <c r="F197" s="131"/>
      <c r="G197" s="131"/>
      <c r="H197" s="133"/>
      <c r="I197" s="131"/>
      <c r="J197" s="131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</row>
    <row r="198" ht="22.5" customHeight="1" spans="1:34">
      <c r="A198" s="135"/>
      <c r="B198" s="136"/>
      <c r="C198" s="137"/>
      <c r="D198" s="136"/>
      <c r="E198" s="136"/>
      <c r="F198" s="136"/>
      <c r="G198" s="136"/>
      <c r="H198" s="138"/>
      <c r="I198" s="136"/>
      <c r="J198" s="136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</row>
    <row r="199" ht="22.5" customHeight="1" spans="1:34">
      <c r="A199" s="130"/>
      <c r="B199" s="131"/>
      <c r="C199" s="132"/>
      <c r="D199" s="131"/>
      <c r="E199" s="131"/>
      <c r="F199" s="131"/>
      <c r="G199" s="131"/>
      <c r="H199" s="133"/>
      <c r="I199" s="131"/>
      <c r="J199" s="131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</row>
    <row r="200" ht="22.5" customHeight="1" spans="1:34">
      <c r="A200" s="135"/>
      <c r="B200" s="136"/>
      <c r="C200" s="137"/>
      <c r="D200" s="136"/>
      <c r="E200" s="136"/>
      <c r="F200" s="136"/>
      <c r="G200" s="136"/>
      <c r="H200" s="138"/>
      <c r="I200" s="136"/>
      <c r="J200" s="136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</row>
    <row r="201" ht="22.5" customHeight="1" spans="1:34">
      <c r="A201" s="130"/>
      <c r="B201" s="131"/>
      <c r="C201" s="132"/>
      <c r="D201" s="131"/>
      <c r="E201" s="131"/>
      <c r="F201" s="131"/>
      <c r="G201" s="131"/>
      <c r="H201" s="133"/>
      <c r="I201" s="131"/>
      <c r="J201" s="131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</row>
    <row r="202" ht="22.5" customHeight="1" spans="1:34">
      <c r="A202" s="135"/>
      <c r="B202" s="136"/>
      <c r="C202" s="137"/>
      <c r="D202" s="136"/>
      <c r="E202" s="136"/>
      <c r="F202" s="136"/>
      <c r="G202" s="136"/>
      <c r="H202" s="138"/>
      <c r="I202" s="136"/>
      <c r="J202" s="136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</row>
    <row r="203" ht="22.5" customHeight="1" spans="1:34">
      <c r="A203" s="130"/>
      <c r="B203" s="131"/>
      <c r="C203" s="132"/>
      <c r="D203" s="131"/>
      <c r="E203" s="131"/>
      <c r="F203" s="131"/>
      <c r="G203" s="131"/>
      <c r="H203" s="133"/>
      <c r="I203" s="131"/>
      <c r="J203" s="131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</row>
    <row r="204" ht="22.5" customHeight="1" spans="1:34">
      <c r="A204" s="135"/>
      <c r="B204" s="136"/>
      <c r="C204" s="137"/>
      <c r="D204" s="136"/>
      <c r="E204" s="136"/>
      <c r="F204" s="136"/>
      <c r="G204" s="136"/>
      <c r="H204" s="138"/>
      <c r="I204" s="136"/>
      <c r="J204" s="136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</row>
    <row r="205" ht="22.5" customHeight="1" spans="1:34">
      <c r="A205" s="130"/>
      <c r="B205" s="131"/>
      <c r="C205" s="132"/>
      <c r="D205" s="131"/>
      <c r="E205" s="131"/>
      <c r="F205" s="131"/>
      <c r="G205" s="131"/>
      <c r="H205" s="133"/>
      <c r="I205" s="131"/>
      <c r="J205" s="131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</row>
    <row r="206" ht="22.5" customHeight="1" spans="1:34">
      <c r="A206" s="135"/>
      <c r="B206" s="136"/>
      <c r="C206" s="137"/>
      <c r="D206" s="136"/>
      <c r="E206" s="136"/>
      <c r="F206" s="136"/>
      <c r="G206" s="136"/>
      <c r="H206" s="138"/>
      <c r="I206" s="136"/>
      <c r="J206" s="136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</row>
    <row r="207" ht="22.5" customHeight="1" spans="1:34">
      <c r="A207" s="130"/>
      <c r="B207" s="131"/>
      <c r="C207" s="132"/>
      <c r="D207" s="131"/>
      <c r="E207" s="131"/>
      <c r="F207" s="131"/>
      <c r="G207" s="131"/>
      <c r="H207" s="133"/>
      <c r="I207" s="131"/>
      <c r="J207" s="131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  <c r="AC207" s="134"/>
      <c r="AD207" s="134"/>
      <c r="AE207" s="134"/>
      <c r="AF207" s="134"/>
      <c r="AG207" s="134"/>
      <c r="AH207" s="134"/>
    </row>
    <row r="208" ht="22.5" customHeight="1" spans="1:34">
      <c r="A208" s="135"/>
      <c r="B208" s="136"/>
      <c r="C208" s="137"/>
      <c r="D208" s="136"/>
      <c r="E208" s="136"/>
      <c r="F208" s="136"/>
      <c r="G208" s="136"/>
      <c r="H208" s="138"/>
      <c r="I208" s="136"/>
      <c r="J208" s="136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</row>
    <row r="209" ht="22.5" customHeight="1" spans="1:34">
      <c r="A209" s="130"/>
      <c r="B209" s="131"/>
      <c r="C209" s="132"/>
      <c r="D209" s="131"/>
      <c r="E209" s="131"/>
      <c r="F209" s="131"/>
      <c r="G209" s="131"/>
      <c r="H209" s="133"/>
      <c r="I209" s="131"/>
      <c r="J209" s="131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  <c r="AC209" s="134"/>
      <c r="AD209" s="134"/>
      <c r="AE209" s="134"/>
      <c r="AF209" s="134"/>
      <c r="AG209" s="134"/>
      <c r="AH209" s="134"/>
    </row>
    <row r="210" ht="22.5" customHeight="1" spans="1:34">
      <c r="A210" s="135"/>
      <c r="B210" s="136"/>
      <c r="C210" s="137"/>
      <c r="D210" s="136"/>
      <c r="E210" s="136"/>
      <c r="F210" s="136"/>
      <c r="G210" s="136"/>
      <c r="H210" s="138"/>
      <c r="I210" s="136"/>
      <c r="J210" s="136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</row>
    <row r="211" ht="22.5" customHeight="1" spans="1:34">
      <c r="A211" s="130"/>
      <c r="B211" s="131"/>
      <c r="C211" s="132"/>
      <c r="D211" s="131"/>
      <c r="E211" s="131"/>
      <c r="F211" s="131"/>
      <c r="G211" s="131"/>
      <c r="H211" s="133"/>
      <c r="I211" s="131"/>
      <c r="J211" s="131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</row>
    <row r="212" ht="22.5" customHeight="1" spans="1:34">
      <c r="A212" s="135"/>
      <c r="B212" s="136"/>
      <c r="C212" s="137"/>
      <c r="D212" s="136"/>
      <c r="E212" s="136"/>
      <c r="F212" s="136"/>
      <c r="G212" s="136"/>
      <c r="H212" s="138"/>
      <c r="I212" s="136"/>
      <c r="J212" s="136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</row>
    <row r="213" ht="22.5" customHeight="1" spans="1:34">
      <c r="A213" s="130"/>
      <c r="B213" s="131"/>
      <c r="C213" s="132"/>
      <c r="D213" s="131"/>
      <c r="E213" s="131"/>
      <c r="F213" s="131"/>
      <c r="G213" s="131"/>
      <c r="H213" s="133"/>
      <c r="I213" s="131"/>
      <c r="J213" s="131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</row>
    <row r="214" ht="22.5" customHeight="1" spans="1:34">
      <c r="A214" s="135"/>
      <c r="B214" s="136"/>
      <c r="C214" s="137"/>
      <c r="D214" s="136"/>
      <c r="E214" s="136"/>
      <c r="F214" s="136"/>
      <c r="G214" s="136"/>
      <c r="H214" s="138"/>
      <c r="I214" s="136"/>
      <c r="J214" s="136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</row>
    <row r="215" ht="22.5" customHeight="1" spans="1:34">
      <c r="A215" s="130"/>
      <c r="B215" s="131"/>
      <c r="C215" s="132"/>
      <c r="D215" s="131"/>
      <c r="E215" s="131"/>
      <c r="F215" s="131"/>
      <c r="G215" s="131"/>
      <c r="H215" s="133"/>
      <c r="I215" s="131"/>
      <c r="J215" s="131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</row>
    <row r="216" ht="22.5" customHeight="1" spans="1:34">
      <c r="A216" s="135"/>
      <c r="B216" s="136"/>
      <c r="C216" s="137"/>
      <c r="D216" s="136"/>
      <c r="E216" s="136"/>
      <c r="F216" s="136"/>
      <c r="G216" s="136"/>
      <c r="H216" s="138"/>
      <c r="I216" s="136"/>
      <c r="J216" s="136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</row>
    <row r="217" ht="22.5" customHeight="1" spans="1:34">
      <c r="A217" s="130"/>
      <c r="B217" s="131"/>
      <c r="C217" s="132"/>
      <c r="D217" s="131"/>
      <c r="E217" s="131"/>
      <c r="F217" s="131"/>
      <c r="G217" s="131"/>
      <c r="H217" s="133"/>
      <c r="I217" s="131"/>
      <c r="J217" s="131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  <c r="AC217" s="134"/>
      <c r="AD217" s="134"/>
      <c r="AE217" s="134"/>
      <c r="AF217" s="134"/>
      <c r="AG217" s="134"/>
      <c r="AH217" s="134"/>
    </row>
    <row r="218" ht="22.5" customHeight="1" spans="1:34">
      <c r="A218" s="135"/>
      <c r="B218" s="136"/>
      <c r="C218" s="137"/>
      <c r="D218" s="136"/>
      <c r="E218" s="136"/>
      <c r="F218" s="136"/>
      <c r="G218" s="136"/>
      <c r="H218" s="138"/>
      <c r="I218" s="136"/>
      <c r="J218" s="136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</row>
    <row r="219" ht="22.5" customHeight="1" spans="1:34">
      <c r="A219" s="130"/>
      <c r="B219" s="131"/>
      <c r="C219" s="132"/>
      <c r="D219" s="131"/>
      <c r="E219" s="131"/>
      <c r="F219" s="131"/>
      <c r="G219" s="131"/>
      <c r="H219" s="133"/>
      <c r="I219" s="131"/>
      <c r="J219" s="131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</row>
    <row r="220" ht="22.5" customHeight="1" spans="1:34">
      <c r="A220" s="135"/>
      <c r="B220" s="136"/>
      <c r="C220" s="137"/>
      <c r="D220" s="136"/>
      <c r="E220" s="136"/>
      <c r="F220" s="136"/>
      <c r="G220" s="136"/>
      <c r="H220" s="138"/>
      <c r="I220" s="136"/>
      <c r="J220" s="136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</row>
    <row r="221" ht="22.5" customHeight="1" spans="1:34">
      <c r="A221" s="130"/>
      <c r="B221" s="131"/>
      <c r="C221" s="132"/>
      <c r="D221" s="131"/>
      <c r="E221" s="131"/>
      <c r="F221" s="131"/>
      <c r="G221" s="131"/>
      <c r="H221" s="133"/>
      <c r="I221" s="131"/>
      <c r="J221" s="131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</row>
    <row r="222" ht="22.5" customHeight="1" spans="1:34">
      <c r="A222" s="135"/>
      <c r="B222" s="136"/>
      <c r="C222" s="137"/>
      <c r="D222" s="136"/>
      <c r="E222" s="136"/>
      <c r="F222" s="136"/>
      <c r="G222" s="136"/>
      <c r="H222" s="138"/>
      <c r="I222" s="136"/>
      <c r="J222" s="136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</row>
    <row r="223" ht="22.5" customHeight="1" spans="1:34">
      <c r="A223" s="130"/>
      <c r="B223" s="131"/>
      <c r="C223" s="132"/>
      <c r="D223" s="131"/>
      <c r="E223" s="131"/>
      <c r="F223" s="131"/>
      <c r="G223" s="131"/>
      <c r="H223" s="133"/>
      <c r="I223" s="131"/>
      <c r="J223" s="131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</row>
    <row r="224" ht="22.5" customHeight="1" spans="1:34">
      <c r="A224" s="135"/>
      <c r="B224" s="136"/>
      <c r="C224" s="137"/>
      <c r="D224" s="136"/>
      <c r="E224" s="136"/>
      <c r="F224" s="136"/>
      <c r="G224" s="136"/>
      <c r="H224" s="138"/>
      <c r="I224" s="136"/>
      <c r="J224" s="136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</row>
    <row r="225" ht="22.5" customHeight="1" spans="1:34">
      <c r="A225" s="130"/>
      <c r="B225" s="131"/>
      <c r="C225" s="132"/>
      <c r="D225" s="131"/>
      <c r="E225" s="131"/>
      <c r="F225" s="131"/>
      <c r="G225" s="131"/>
      <c r="H225" s="133"/>
      <c r="I225" s="131"/>
      <c r="J225" s="131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</row>
    <row r="226" ht="22.5" customHeight="1" spans="1:34">
      <c r="A226" s="135"/>
      <c r="B226" s="136"/>
      <c r="C226" s="137"/>
      <c r="D226" s="136"/>
      <c r="E226" s="136"/>
      <c r="F226" s="136"/>
      <c r="G226" s="136"/>
      <c r="H226" s="138"/>
      <c r="I226" s="136"/>
      <c r="J226" s="136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</row>
    <row r="227" ht="22.5" customHeight="1" spans="1:34">
      <c r="A227" s="130"/>
      <c r="B227" s="131"/>
      <c r="C227" s="132"/>
      <c r="D227" s="131"/>
      <c r="E227" s="131"/>
      <c r="F227" s="131"/>
      <c r="G227" s="131"/>
      <c r="H227" s="133"/>
      <c r="I227" s="131"/>
      <c r="J227" s="131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</row>
    <row r="228" ht="22.5" customHeight="1" spans="1:34">
      <c r="A228" s="135"/>
      <c r="B228" s="136"/>
      <c r="C228" s="137"/>
      <c r="D228" s="136"/>
      <c r="E228" s="136"/>
      <c r="F228" s="136"/>
      <c r="G228" s="136"/>
      <c r="H228" s="138"/>
      <c r="I228" s="136"/>
      <c r="J228" s="136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</row>
    <row r="229" ht="22.5" customHeight="1" spans="1:34">
      <c r="A229" s="130"/>
      <c r="B229" s="131"/>
      <c r="C229" s="132"/>
      <c r="D229" s="131"/>
      <c r="E229" s="131"/>
      <c r="F229" s="131"/>
      <c r="G229" s="131"/>
      <c r="H229" s="133"/>
      <c r="I229" s="131"/>
      <c r="J229" s="131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</row>
    <row r="230" ht="22.5" customHeight="1" spans="1:34">
      <c r="A230" s="135"/>
      <c r="B230" s="136"/>
      <c r="C230" s="137"/>
      <c r="D230" s="136"/>
      <c r="E230" s="136"/>
      <c r="F230" s="136"/>
      <c r="G230" s="136"/>
      <c r="H230" s="138"/>
      <c r="I230" s="136"/>
      <c r="J230" s="136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</row>
    <row r="231" ht="22.5" customHeight="1" spans="1:34">
      <c r="A231" s="130"/>
      <c r="B231" s="131"/>
      <c r="C231" s="132"/>
      <c r="D231" s="131"/>
      <c r="E231" s="131"/>
      <c r="F231" s="131"/>
      <c r="G231" s="131"/>
      <c r="H231" s="133"/>
      <c r="I231" s="131"/>
      <c r="J231" s="131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</row>
    <row r="232" ht="22.5" customHeight="1" spans="1:34">
      <c r="A232" s="135"/>
      <c r="B232" s="136"/>
      <c r="C232" s="137"/>
      <c r="D232" s="136"/>
      <c r="E232" s="136"/>
      <c r="F232" s="136"/>
      <c r="G232" s="136"/>
      <c r="H232" s="138"/>
      <c r="I232" s="136"/>
      <c r="J232" s="136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</row>
    <row r="233" ht="22.5" customHeight="1" spans="1:34">
      <c r="A233" s="130"/>
      <c r="B233" s="131"/>
      <c r="C233" s="132"/>
      <c r="D233" s="131"/>
      <c r="E233" s="131"/>
      <c r="F233" s="131"/>
      <c r="G233" s="131"/>
      <c r="H233" s="133"/>
      <c r="I233" s="131"/>
      <c r="J233" s="131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</row>
    <row r="234" ht="22.5" customHeight="1" spans="1:34">
      <c r="A234" s="135"/>
      <c r="B234" s="136"/>
      <c r="C234" s="137"/>
      <c r="D234" s="136"/>
      <c r="E234" s="136"/>
      <c r="F234" s="136"/>
      <c r="G234" s="136"/>
      <c r="H234" s="138"/>
      <c r="I234" s="136"/>
      <c r="J234" s="136"/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</row>
    <row r="235" ht="22.5" customHeight="1" spans="1:34">
      <c r="A235" s="130"/>
      <c r="B235" s="131"/>
      <c r="C235" s="132"/>
      <c r="D235" s="131"/>
      <c r="E235" s="131"/>
      <c r="F235" s="131"/>
      <c r="G235" s="131"/>
      <c r="H235" s="133"/>
      <c r="I235" s="131"/>
      <c r="J235" s="131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</row>
    <row r="236" ht="22.5" customHeight="1" spans="1:34">
      <c r="A236" s="135"/>
      <c r="B236" s="136"/>
      <c r="C236" s="137"/>
      <c r="D236" s="136"/>
      <c r="E236" s="136"/>
      <c r="F236" s="136"/>
      <c r="G236" s="136"/>
      <c r="H236" s="138"/>
      <c r="I236" s="136"/>
      <c r="J236" s="136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</row>
    <row r="237" ht="22.5" customHeight="1" spans="1:34">
      <c r="A237" s="130"/>
      <c r="B237" s="131"/>
      <c r="C237" s="132"/>
      <c r="D237" s="131"/>
      <c r="E237" s="131"/>
      <c r="F237" s="131"/>
      <c r="G237" s="131"/>
      <c r="H237" s="133"/>
      <c r="I237" s="131"/>
      <c r="J237" s="131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</row>
    <row r="238" ht="22.5" customHeight="1" spans="1:34">
      <c r="A238" s="135"/>
      <c r="B238" s="136"/>
      <c r="C238" s="137"/>
      <c r="D238" s="136"/>
      <c r="E238" s="136"/>
      <c r="F238" s="136"/>
      <c r="G238" s="136"/>
      <c r="H238" s="138"/>
      <c r="I238" s="136"/>
      <c r="J238" s="136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</row>
    <row r="239" ht="22.5" customHeight="1" spans="1:34">
      <c r="A239" s="130"/>
      <c r="B239" s="131"/>
      <c r="C239" s="132"/>
      <c r="D239" s="131"/>
      <c r="E239" s="131"/>
      <c r="F239" s="131"/>
      <c r="G239" s="131"/>
      <c r="H239" s="133"/>
      <c r="I239" s="131"/>
      <c r="J239" s="131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</row>
    <row r="240" ht="22.5" customHeight="1" spans="1:34">
      <c r="A240" s="135"/>
      <c r="B240" s="136"/>
      <c r="C240" s="137"/>
      <c r="D240" s="136"/>
      <c r="E240" s="136"/>
      <c r="F240" s="136"/>
      <c r="G240" s="136"/>
      <c r="H240" s="138"/>
      <c r="I240" s="136"/>
      <c r="J240" s="136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</row>
    <row r="241" ht="22.5" customHeight="1" spans="1:34">
      <c r="A241" s="130"/>
      <c r="B241" s="131"/>
      <c r="C241" s="132"/>
      <c r="D241" s="131"/>
      <c r="E241" s="131"/>
      <c r="F241" s="131"/>
      <c r="G241" s="131"/>
      <c r="H241" s="133"/>
      <c r="I241" s="131"/>
      <c r="J241" s="131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</row>
    <row r="242" ht="22.5" customHeight="1" spans="1:34">
      <c r="A242" s="135"/>
      <c r="B242" s="136"/>
      <c r="C242" s="137"/>
      <c r="D242" s="136"/>
      <c r="E242" s="136"/>
      <c r="F242" s="136"/>
      <c r="G242" s="136"/>
      <c r="H242" s="138"/>
      <c r="I242" s="136"/>
      <c r="J242" s="136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</row>
    <row r="243" ht="22.5" customHeight="1" spans="1:34">
      <c r="A243" s="130"/>
      <c r="B243" s="131"/>
      <c r="C243" s="132"/>
      <c r="D243" s="131"/>
      <c r="E243" s="131"/>
      <c r="F243" s="131"/>
      <c r="G243" s="131"/>
      <c r="H243" s="133"/>
      <c r="I243" s="131"/>
      <c r="J243" s="131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</row>
    <row r="244" ht="22.5" customHeight="1" spans="1:34">
      <c r="A244" s="135"/>
      <c r="B244" s="136"/>
      <c r="C244" s="137"/>
      <c r="D244" s="136"/>
      <c r="E244" s="136"/>
      <c r="F244" s="136"/>
      <c r="G244" s="136"/>
      <c r="H244" s="138"/>
      <c r="I244" s="136"/>
      <c r="J244" s="136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</row>
    <row r="245" ht="22.5" customHeight="1" spans="1:34">
      <c r="A245" s="130"/>
      <c r="B245" s="131"/>
      <c r="C245" s="132"/>
      <c r="D245" s="131"/>
      <c r="E245" s="131"/>
      <c r="F245" s="131"/>
      <c r="G245" s="131"/>
      <c r="H245" s="133"/>
      <c r="I245" s="131"/>
      <c r="J245" s="131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</row>
    <row r="246" ht="22.5" customHeight="1" spans="1:34">
      <c r="A246" s="135"/>
      <c r="B246" s="136"/>
      <c r="C246" s="137"/>
      <c r="D246" s="136"/>
      <c r="E246" s="136"/>
      <c r="F246" s="136"/>
      <c r="G246" s="136"/>
      <c r="H246" s="138"/>
      <c r="I246" s="136"/>
      <c r="J246" s="136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</row>
    <row r="247" ht="22.5" customHeight="1" spans="1:34">
      <c r="A247" s="130"/>
      <c r="B247" s="131"/>
      <c r="C247" s="132"/>
      <c r="D247" s="131"/>
      <c r="E247" s="131"/>
      <c r="F247" s="131"/>
      <c r="G247" s="131"/>
      <c r="H247" s="133"/>
      <c r="I247" s="131"/>
      <c r="J247" s="131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</row>
    <row r="248" ht="22.5" customHeight="1" spans="1:34">
      <c r="A248" s="135"/>
      <c r="B248" s="136"/>
      <c r="C248" s="137"/>
      <c r="D248" s="136"/>
      <c r="E248" s="136"/>
      <c r="F248" s="136"/>
      <c r="G248" s="136"/>
      <c r="H248" s="138"/>
      <c r="I248" s="136"/>
      <c r="J248" s="136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</row>
    <row r="249" ht="22.5" customHeight="1" spans="1:34">
      <c r="A249" s="130"/>
      <c r="B249" s="131"/>
      <c r="C249" s="132"/>
      <c r="D249" s="131"/>
      <c r="E249" s="131"/>
      <c r="F249" s="131"/>
      <c r="G249" s="131"/>
      <c r="H249" s="133"/>
      <c r="I249" s="131"/>
      <c r="J249" s="131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</row>
    <row r="250" ht="22.5" customHeight="1" spans="1:34">
      <c r="A250" s="135"/>
      <c r="B250" s="136"/>
      <c r="C250" s="137"/>
      <c r="D250" s="136"/>
      <c r="E250" s="136"/>
      <c r="F250" s="136"/>
      <c r="G250" s="136"/>
      <c r="H250" s="138"/>
      <c r="I250" s="136"/>
      <c r="J250" s="136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</row>
    <row r="251" ht="22.5" customHeight="1" spans="1:34">
      <c r="A251" s="130"/>
      <c r="B251" s="131"/>
      <c r="C251" s="132"/>
      <c r="D251" s="131"/>
      <c r="E251" s="131"/>
      <c r="F251" s="131"/>
      <c r="G251" s="131"/>
      <c r="H251" s="133"/>
      <c r="I251" s="131"/>
      <c r="J251" s="131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</row>
    <row r="252" ht="22.5" customHeight="1" spans="1:34">
      <c r="A252" s="135"/>
      <c r="B252" s="136"/>
      <c r="C252" s="137"/>
      <c r="D252" s="136"/>
      <c r="E252" s="136"/>
      <c r="F252" s="136"/>
      <c r="G252" s="136"/>
      <c r="H252" s="138"/>
      <c r="I252" s="136"/>
      <c r="J252" s="136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</row>
    <row r="253" ht="22.5" customHeight="1" spans="1:34">
      <c r="A253" s="130"/>
      <c r="B253" s="131"/>
      <c r="C253" s="132"/>
      <c r="D253" s="131"/>
      <c r="E253" s="131"/>
      <c r="F253" s="131"/>
      <c r="G253" s="131"/>
      <c r="H253" s="133"/>
      <c r="I253" s="131"/>
      <c r="J253" s="131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</row>
    <row r="254" ht="22.5" customHeight="1" spans="1:34">
      <c r="A254" s="135"/>
      <c r="B254" s="136"/>
      <c r="C254" s="137"/>
      <c r="D254" s="136"/>
      <c r="E254" s="136"/>
      <c r="F254" s="136"/>
      <c r="G254" s="136"/>
      <c r="H254" s="138"/>
      <c r="I254" s="136"/>
      <c r="J254" s="136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</row>
    <row r="255" ht="22.5" customHeight="1" spans="1:34">
      <c r="A255" s="130"/>
      <c r="B255" s="131"/>
      <c r="C255" s="132"/>
      <c r="D255" s="131"/>
      <c r="E255" s="131"/>
      <c r="F255" s="131"/>
      <c r="G255" s="131"/>
      <c r="H255" s="133"/>
      <c r="I255" s="131"/>
      <c r="J255" s="131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</row>
    <row r="256" ht="22.5" customHeight="1" spans="1:34">
      <c r="A256" s="135"/>
      <c r="B256" s="136"/>
      <c r="C256" s="137"/>
      <c r="D256" s="136"/>
      <c r="E256" s="136"/>
      <c r="F256" s="136"/>
      <c r="G256" s="136"/>
      <c r="H256" s="138"/>
      <c r="I256" s="136"/>
      <c r="J256" s="136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</row>
    <row r="257" ht="22.5" customHeight="1" spans="1:34">
      <c r="A257" s="130"/>
      <c r="B257" s="131"/>
      <c r="C257" s="132"/>
      <c r="D257" s="131"/>
      <c r="E257" s="131"/>
      <c r="F257" s="131"/>
      <c r="G257" s="131"/>
      <c r="H257" s="133"/>
      <c r="I257" s="131"/>
      <c r="J257" s="131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</row>
    <row r="258" ht="22.5" customHeight="1" spans="1:34">
      <c r="A258" s="135"/>
      <c r="B258" s="136"/>
      <c r="C258" s="137"/>
      <c r="D258" s="136"/>
      <c r="E258" s="136"/>
      <c r="F258" s="136"/>
      <c r="G258" s="136"/>
      <c r="H258" s="138"/>
      <c r="I258" s="136"/>
      <c r="J258" s="136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</row>
    <row r="259" ht="22.5" customHeight="1" spans="1:34">
      <c r="A259" s="130"/>
      <c r="B259" s="131"/>
      <c r="C259" s="132"/>
      <c r="D259" s="131"/>
      <c r="E259" s="131"/>
      <c r="F259" s="131"/>
      <c r="G259" s="131"/>
      <c r="H259" s="133"/>
      <c r="I259" s="131"/>
      <c r="J259" s="131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  <c r="AC259" s="134"/>
      <c r="AD259" s="134"/>
      <c r="AE259" s="134"/>
      <c r="AF259" s="134"/>
      <c r="AG259" s="134"/>
      <c r="AH259" s="134"/>
    </row>
    <row r="260" ht="22.5" customHeight="1" spans="1:34">
      <c r="A260" s="135"/>
      <c r="B260" s="136"/>
      <c r="C260" s="137"/>
      <c r="D260" s="136"/>
      <c r="E260" s="136"/>
      <c r="F260" s="136"/>
      <c r="G260" s="136"/>
      <c r="H260" s="138"/>
      <c r="I260" s="136"/>
      <c r="J260" s="136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</row>
    <row r="261" ht="22.5" customHeight="1" spans="1:34">
      <c r="A261" s="130"/>
      <c r="B261" s="131"/>
      <c r="C261" s="132"/>
      <c r="D261" s="131"/>
      <c r="E261" s="131"/>
      <c r="F261" s="131"/>
      <c r="G261" s="131"/>
      <c r="H261" s="133"/>
      <c r="I261" s="131"/>
      <c r="J261" s="131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  <c r="AC261" s="134"/>
      <c r="AD261" s="134"/>
      <c r="AE261" s="134"/>
      <c r="AF261" s="134"/>
      <c r="AG261" s="134"/>
      <c r="AH261" s="134"/>
    </row>
    <row r="262" ht="22.5" customHeight="1" spans="1:34">
      <c r="A262" s="135"/>
      <c r="B262" s="136"/>
      <c r="C262" s="137"/>
      <c r="D262" s="136"/>
      <c r="E262" s="136"/>
      <c r="F262" s="136"/>
      <c r="G262" s="136"/>
      <c r="H262" s="138"/>
      <c r="I262" s="136"/>
      <c r="J262" s="136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</row>
    <row r="263" ht="22.5" customHeight="1" spans="1:34">
      <c r="A263" s="130"/>
      <c r="B263" s="131"/>
      <c r="C263" s="132"/>
      <c r="D263" s="131"/>
      <c r="E263" s="131"/>
      <c r="F263" s="131"/>
      <c r="G263" s="131"/>
      <c r="H263" s="133"/>
      <c r="I263" s="131"/>
      <c r="J263" s="131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  <c r="AC263" s="134"/>
      <c r="AD263" s="134"/>
      <c r="AE263" s="134"/>
      <c r="AF263" s="134"/>
      <c r="AG263" s="134"/>
      <c r="AH263" s="134"/>
    </row>
    <row r="264" ht="22.5" customHeight="1" spans="1:34">
      <c r="A264" s="135"/>
      <c r="B264" s="136"/>
      <c r="C264" s="137"/>
      <c r="D264" s="136"/>
      <c r="E264" s="136"/>
      <c r="F264" s="136"/>
      <c r="G264" s="136"/>
      <c r="H264" s="138"/>
      <c r="I264" s="136"/>
      <c r="J264" s="136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</row>
    <row r="265" ht="22.5" customHeight="1" spans="1:34">
      <c r="A265" s="130"/>
      <c r="B265" s="131"/>
      <c r="C265" s="132"/>
      <c r="D265" s="131"/>
      <c r="E265" s="131"/>
      <c r="F265" s="131"/>
      <c r="G265" s="131"/>
      <c r="H265" s="133"/>
      <c r="I265" s="131"/>
      <c r="J265" s="131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  <c r="AC265" s="134"/>
      <c r="AD265" s="134"/>
      <c r="AE265" s="134"/>
      <c r="AF265" s="134"/>
      <c r="AG265" s="134"/>
      <c r="AH265" s="134"/>
    </row>
    <row r="266" ht="22.5" customHeight="1" spans="1:34">
      <c r="A266" s="135"/>
      <c r="B266" s="136"/>
      <c r="C266" s="137"/>
      <c r="D266" s="136"/>
      <c r="E266" s="136"/>
      <c r="F266" s="136"/>
      <c r="G266" s="136"/>
      <c r="H266" s="138"/>
      <c r="I266" s="136"/>
      <c r="J266" s="136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</row>
    <row r="267" ht="22.5" customHeight="1" spans="1:34">
      <c r="A267" s="130"/>
      <c r="B267" s="131"/>
      <c r="C267" s="132"/>
      <c r="D267" s="131"/>
      <c r="E267" s="131"/>
      <c r="F267" s="131"/>
      <c r="G267" s="131"/>
      <c r="H267" s="133"/>
      <c r="I267" s="131"/>
      <c r="J267" s="131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  <c r="AC267" s="134"/>
      <c r="AD267" s="134"/>
      <c r="AE267" s="134"/>
      <c r="AF267" s="134"/>
      <c r="AG267" s="134"/>
      <c r="AH267" s="134"/>
    </row>
    <row r="268" ht="22.5" customHeight="1" spans="1:34">
      <c r="A268" s="135"/>
      <c r="B268" s="136"/>
      <c r="C268" s="137"/>
      <c r="D268" s="136"/>
      <c r="E268" s="136"/>
      <c r="F268" s="136"/>
      <c r="G268" s="136"/>
      <c r="H268" s="138"/>
      <c r="I268" s="136"/>
      <c r="J268" s="136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</row>
    <row r="269" ht="22.5" customHeight="1" spans="1:34">
      <c r="A269" s="130"/>
      <c r="B269" s="131"/>
      <c r="C269" s="132"/>
      <c r="D269" s="131"/>
      <c r="E269" s="131"/>
      <c r="F269" s="131"/>
      <c r="G269" s="131"/>
      <c r="H269" s="133"/>
      <c r="I269" s="131"/>
      <c r="J269" s="131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  <c r="AC269" s="134"/>
      <c r="AD269" s="134"/>
      <c r="AE269" s="134"/>
      <c r="AF269" s="134"/>
      <c r="AG269" s="134"/>
      <c r="AH269" s="134"/>
    </row>
    <row r="270" ht="22.5" customHeight="1" spans="1:34">
      <c r="A270" s="135"/>
      <c r="B270" s="136"/>
      <c r="C270" s="137"/>
      <c r="D270" s="136"/>
      <c r="E270" s="136"/>
      <c r="F270" s="136"/>
      <c r="G270" s="136"/>
      <c r="H270" s="138"/>
      <c r="I270" s="136"/>
      <c r="J270" s="136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</row>
    <row r="271" ht="22.5" customHeight="1" spans="1:34">
      <c r="A271" s="130"/>
      <c r="B271" s="131"/>
      <c r="C271" s="132"/>
      <c r="D271" s="131"/>
      <c r="E271" s="131"/>
      <c r="F271" s="131"/>
      <c r="G271" s="131"/>
      <c r="H271" s="133"/>
      <c r="I271" s="131"/>
      <c r="J271" s="131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</row>
    <row r="272" ht="22.5" customHeight="1" spans="1:34">
      <c r="A272" s="135"/>
      <c r="B272" s="136"/>
      <c r="C272" s="137"/>
      <c r="D272" s="136"/>
      <c r="E272" s="136"/>
      <c r="F272" s="136"/>
      <c r="G272" s="136"/>
      <c r="H272" s="138"/>
      <c r="I272" s="136"/>
      <c r="J272" s="136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</row>
    <row r="273" ht="22.5" customHeight="1" spans="1:34">
      <c r="A273" s="130"/>
      <c r="B273" s="131"/>
      <c r="C273" s="132"/>
      <c r="D273" s="131"/>
      <c r="E273" s="131"/>
      <c r="F273" s="131"/>
      <c r="G273" s="131"/>
      <c r="H273" s="133"/>
      <c r="I273" s="131"/>
      <c r="J273" s="131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</row>
    <row r="274" ht="22.5" customHeight="1" spans="1:34">
      <c r="A274" s="135"/>
      <c r="B274" s="136"/>
      <c r="C274" s="137"/>
      <c r="D274" s="136"/>
      <c r="E274" s="136"/>
      <c r="F274" s="136"/>
      <c r="G274" s="136"/>
      <c r="H274" s="138"/>
      <c r="I274" s="136"/>
      <c r="J274" s="136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</row>
    <row r="275" ht="22.5" customHeight="1" spans="1:34">
      <c r="A275" s="130"/>
      <c r="B275" s="131"/>
      <c r="C275" s="132"/>
      <c r="D275" s="131"/>
      <c r="E275" s="131"/>
      <c r="F275" s="131"/>
      <c r="G275" s="131"/>
      <c r="H275" s="133"/>
      <c r="I275" s="131"/>
      <c r="J275" s="131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</row>
    <row r="276" ht="22.5" customHeight="1" spans="1:34">
      <c r="A276" s="135"/>
      <c r="B276" s="136"/>
      <c r="C276" s="137"/>
      <c r="D276" s="136"/>
      <c r="E276" s="136"/>
      <c r="F276" s="136"/>
      <c r="G276" s="136"/>
      <c r="H276" s="138"/>
      <c r="I276" s="136"/>
      <c r="J276" s="136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</row>
    <row r="277" ht="22.5" customHeight="1" spans="1:34">
      <c r="A277" s="130"/>
      <c r="B277" s="131"/>
      <c r="C277" s="132"/>
      <c r="D277" s="131"/>
      <c r="E277" s="131"/>
      <c r="F277" s="131"/>
      <c r="G277" s="131"/>
      <c r="H277" s="133"/>
      <c r="I277" s="131"/>
      <c r="J277" s="131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</row>
    <row r="278" ht="22.5" customHeight="1" spans="1:34">
      <c r="A278" s="135"/>
      <c r="B278" s="136"/>
      <c r="C278" s="137"/>
      <c r="D278" s="136"/>
      <c r="E278" s="136"/>
      <c r="F278" s="136"/>
      <c r="G278" s="136"/>
      <c r="H278" s="138"/>
      <c r="I278" s="136"/>
      <c r="J278" s="136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</row>
    <row r="279" ht="22.5" customHeight="1" spans="1:34">
      <c r="A279" s="130"/>
      <c r="B279" s="131"/>
      <c r="C279" s="132"/>
      <c r="D279" s="131"/>
      <c r="E279" s="131"/>
      <c r="F279" s="131"/>
      <c r="G279" s="131"/>
      <c r="H279" s="133"/>
      <c r="I279" s="131"/>
      <c r="J279" s="131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</row>
    <row r="280" ht="22.5" customHeight="1" spans="1:34">
      <c r="A280" s="135"/>
      <c r="B280" s="136"/>
      <c r="C280" s="137"/>
      <c r="D280" s="136"/>
      <c r="E280" s="136"/>
      <c r="F280" s="136"/>
      <c r="G280" s="136"/>
      <c r="H280" s="138"/>
      <c r="I280" s="136"/>
      <c r="J280" s="136"/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</row>
    <row r="281" ht="22.5" customHeight="1" spans="1:34">
      <c r="A281" s="130"/>
      <c r="B281" s="131"/>
      <c r="C281" s="132"/>
      <c r="D281" s="131"/>
      <c r="E281" s="131"/>
      <c r="F281" s="131"/>
      <c r="G281" s="131"/>
      <c r="H281" s="133"/>
      <c r="I281" s="131"/>
      <c r="J281" s="131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</row>
    <row r="282" ht="22.5" customHeight="1" spans="1:34">
      <c r="A282" s="135"/>
      <c r="B282" s="136"/>
      <c r="C282" s="137"/>
      <c r="D282" s="136"/>
      <c r="E282" s="136"/>
      <c r="F282" s="136"/>
      <c r="G282" s="136"/>
      <c r="H282" s="138"/>
      <c r="I282" s="136"/>
      <c r="J282" s="136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</row>
    <row r="283" ht="22.5" customHeight="1" spans="1:34">
      <c r="A283" s="130"/>
      <c r="B283" s="131"/>
      <c r="C283" s="132"/>
      <c r="D283" s="131"/>
      <c r="E283" s="131"/>
      <c r="F283" s="131"/>
      <c r="G283" s="131"/>
      <c r="H283" s="133"/>
      <c r="I283" s="131"/>
      <c r="J283" s="131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</row>
    <row r="284" ht="22.5" customHeight="1" spans="1:34">
      <c r="A284" s="135"/>
      <c r="B284" s="136"/>
      <c r="C284" s="137"/>
      <c r="D284" s="136"/>
      <c r="E284" s="136"/>
      <c r="F284" s="136"/>
      <c r="G284" s="136"/>
      <c r="H284" s="138"/>
      <c r="I284" s="136"/>
      <c r="J284" s="136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</row>
    <row r="285" ht="22.5" customHeight="1" spans="1:34">
      <c r="A285" s="130"/>
      <c r="B285" s="131"/>
      <c r="C285" s="132"/>
      <c r="D285" s="131"/>
      <c r="E285" s="131"/>
      <c r="F285" s="131"/>
      <c r="G285" s="131"/>
      <c r="H285" s="133"/>
      <c r="I285" s="131"/>
      <c r="J285" s="131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</row>
    <row r="286" ht="22.5" customHeight="1" spans="1:34">
      <c r="A286" s="135"/>
      <c r="B286" s="136"/>
      <c r="C286" s="137"/>
      <c r="D286" s="136"/>
      <c r="E286" s="136"/>
      <c r="F286" s="136"/>
      <c r="G286" s="136"/>
      <c r="H286" s="138"/>
      <c r="I286" s="136"/>
      <c r="J286" s="136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</row>
    <row r="287" ht="22.5" customHeight="1" spans="1:34">
      <c r="A287" s="130"/>
      <c r="B287" s="131"/>
      <c r="C287" s="132"/>
      <c r="D287" s="131"/>
      <c r="E287" s="131"/>
      <c r="F287" s="131"/>
      <c r="G287" s="131"/>
      <c r="H287" s="133"/>
      <c r="I287" s="131"/>
      <c r="J287" s="131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</row>
    <row r="288" ht="22.5" customHeight="1" spans="1:34">
      <c r="A288" s="135"/>
      <c r="B288" s="136"/>
      <c r="C288" s="137"/>
      <c r="D288" s="136"/>
      <c r="E288" s="136"/>
      <c r="F288" s="136"/>
      <c r="G288" s="136"/>
      <c r="H288" s="138"/>
      <c r="I288" s="136"/>
      <c r="J288" s="136"/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</row>
    <row r="289" ht="22.5" customHeight="1" spans="1:34">
      <c r="A289" s="130"/>
      <c r="B289" s="131"/>
      <c r="C289" s="132"/>
      <c r="D289" s="131"/>
      <c r="E289" s="131"/>
      <c r="F289" s="131"/>
      <c r="G289" s="131"/>
      <c r="H289" s="133"/>
      <c r="I289" s="131"/>
      <c r="J289" s="131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</row>
    <row r="290" ht="22.5" customHeight="1" spans="1:34">
      <c r="A290" s="135"/>
      <c r="B290" s="136"/>
      <c r="C290" s="137"/>
      <c r="D290" s="136"/>
      <c r="E290" s="136"/>
      <c r="F290" s="136"/>
      <c r="G290" s="136"/>
      <c r="H290" s="138"/>
      <c r="I290" s="136"/>
      <c r="J290" s="136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</row>
    <row r="291" ht="22.5" customHeight="1" spans="1:34">
      <c r="A291" s="130"/>
      <c r="B291" s="131"/>
      <c r="C291" s="132"/>
      <c r="D291" s="131"/>
      <c r="E291" s="131"/>
      <c r="F291" s="131"/>
      <c r="G291" s="131"/>
      <c r="H291" s="133"/>
      <c r="I291" s="131"/>
      <c r="J291" s="131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</row>
    <row r="292" ht="22.5" customHeight="1" spans="1:34">
      <c r="A292" s="135"/>
      <c r="B292" s="136"/>
      <c r="C292" s="137"/>
      <c r="D292" s="136"/>
      <c r="E292" s="136"/>
      <c r="F292" s="136"/>
      <c r="G292" s="136"/>
      <c r="H292" s="138"/>
      <c r="I292" s="136"/>
      <c r="J292" s="136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</row>
    <row r="293" ht="22.5" customHeight="1" spans="1:34">
      <c r="A293" s="130"/>
      <c r="B293" s="131"/>
      <c r="C293" s="132"/>
      <c r="D293" s="131"/>
      <c r="E293" s="131"/>
      <c r="F293" s="131"/>
      <c r="G293" s="131"/>
      <c r="H293" s="133"/>
      <c r="I293" s="131"/>
      <c r="J293" s="131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</row>
    <row r="294" ht="22.5" customHeight="1" spans="1:34">
      <c r="A294" s="135"/>
      <c r="B294" s="136"/>
      <c r="C294" s="137"/>
      <c r="D294" s="136"/>
      <c r="E294" s="136"/>
      <c r="F294" s="136"/>
      <c r="G294" s="136"/>
      <c r="H294" s="138"/>
      <c r="I294" s="136"/>
      <c r="J294" s="136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</row>
    <row r="295" ht="22.5" customHeight="1" spans="1:34">
      <c r="A295" s="130"/>
      <c r="B295" s="131"/>
      <c r="C295" s="132"/>
      <c r="D295" s="131"/>
      <c r="E295" s="131"/>
      <c r="F295" s="131"/>
      <c r="G295" s="131"/>
      <c r="H295" s="133"/>
      <c r="I295" s="131"/>
      <c r="J295" s="131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</row>
    <row r="296" ht="22.5" customHeight="1" spans="1:34">
      <c r="A296" s="135"/>
      <c r="B296" s="136"/>
      <c r="C296" s="137"/>
      <c r="D296" s="136"/>
      <c r="E296" s="136"/>
      <c r="F296" s="136"/>
      <c r="G296" s="136"/>
      <c r="H296" s="138"/>
      <c r="I296" s="136"/>
      <c r="J296" s="136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</row>
    <row r="297" ht="22.5" customHeight="1" spans="1:34">
      <c r="A297" s="130"/>
      <c r="B297" s="131"/>
      <c r="C297" s="132"/>
      <c r="D297" s="131"/>
      <c r="E297" s="131"/>
      <c r="F297" s="131"/>
      <c r="G297" s="131"/>
      <c r="H297" s="133"/>
      <c r="I297" s="131"/>
      <c r="J297" s="131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</row>
    <row r="298" ht="22.5" customHeight="1" spans="1:34">
      <c r="A298" s="135"/>
      <c r="B298" s="136"/>
      <c r="C298" s="137"/>
      <c r="D298" s="136"/>
      <c r="E298" s="136"/>
      <c r="F298" s="136"/>
      <c r="G298" s="136"/>
      <c r="H298" s="138"/>
      <c r="I298" s="136"/>
      <c r="J298" s="136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</row>
    <row r="299" ht="22.5" customHeight="1" spans="1:34">
      <c r="A299" s="130"/>
      <c r="B299" s="131"/>
      <c r="C299" s="132"/>
      <c r="D299" s="131"/>
      <c r="E299" s="131"/>
      <c r="F299" s="131"/>
      <c r="G299" s="131"/>
      <c r="H299" s="133"/>
      <c r="I299" s="131"/>
      <c r="J299" s="131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</row>
    <row r="300" ht="22.5" customHeight="1" spans="1:34">
      <c r="A300" s="135"/>
      <c r="B300" s="136"/>
      <c r="C300" s="137"/>
      <c r="D300" s="136"/>
      <c r="E300" s="136"/>
      <c r="F300" s="136"/>
      <c r="G300" s="136"/>
      <c r="H300" s="138"/>
      <c r="I300" s="136"/>
      <c r="J300" s="136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</row>
    <row r="301" ht="22.5" customHeight="1" spans="1:34">
      <c r="A301" s="130"/>
      <c r="B301" s="131"/>
      <c r="C301" s="132"/>
      <c r="D301" s="131"/>
      <c r="E301" s="131"/>
      <c r="F301" s="131"/>
      <c r="G301" s="131"/>
      <c r="H301" s="133"/>
      <c r="I301" s="131"/>
      <c r="J301" s="131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</row>
    <row r="302" ht="22.5" customHeight="1" spans="1:34">
      <c r="A302" s="135"/>
      <c r="B302" s="136"/>
      <c r="C302" s="137"/>
      <c r="D302" s="136"/>
      <c r="E302" s="136"/>
      <c r="F302" s="136"/>
      <c r="G302" s="136"/>
      <c r="H302" s="138"/>
      <c r="I302" s="136"/>
      <c r="J302" s="136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</row>
    <row r="303" ht="22.5" customHeight="1" spans="1:34">
      <c r="A303" s="130"/>
      <c r="B303" s="131"/>
      <c r="C303" s="132"/>
      <c r="D303" s="131"/>
      <c r="E303" s="131"/>
      <c r="F303" s="131"/>
      <c r="G303" s="131"/>
      <c r="H303" s="133"/>
      <c r="I303" s="131"/>
      <c r="J303" s="131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</row>
    <row r="304" ht="22.5" customHeight="1" spans="1:34">
      <c r="A304" s="135"/>
      <c r="B304" s="136"/>
      <c r="C304" s="137"/>
      <c r="D304" s="136"/>
      <c r="E304" s="136"/>
      <c r="F304" s="136"/>
      <c r="G304" s="136"/>
      <c r="H304" s="138"/>
      <c r="I304" s="136"/>
      <c r="J304" s="136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</row>
    <row r="305" ht="22.5" customHeight="1" spans="1:34">
      <c r="A305" s="130"/>
      <c r="B305" s="131"/>
      <c r="C305" s="132"/>
      <c r="D305" s="131"/>
      <c r="E305" s="131"/>
      <c r="F305" s="131"/>
      <c r="G305" s="131"/>
      <c r="H305" s="133"/>
      <c r="I305" s="131"/>
      <c r="J305" s="131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</row>
    <row r="306" ht="22.5" customHeight="1" spans="1:34">
      <c r="A306" s="135"/>
      <c r="B306" s="136"/>
      <c r="C306" s="137"/>
      <c r="D306" s="136"/>
      <c r="E306" s="136"/>
      <c r="F306" s="136"/>
      <c r="G306" s="136"/>
      <c r="H306" s="138"/>
      <c r="I306" s="136"/>
      <c r="J306" s="136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</row>
    <row r="307" ht="22.5" customHeight="1" spans="1:34">
      <c r="A307" s="130"/>
      <c r="B307" s="131"/>
      <c r="C307" s="132"/>
      <c r="D307" s="131"/>
      <c r="E307" s="131"/>
      <c r="F307" s="131"/>
      <c r="G307" s="131"/>
      <c r="H307" s="133"/>
      <c r="I307" s="131"/>
      <c r="J307" s="131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  <c r="AC307" s="134"/>
      <c r="AD307" s="134"/>
      <c r="AE307" s="134"/>
      <c r="AF307" s="134"/>
      <c r="AG307" s="134"/>
      <c r="AH307" s="134"/>
    </row>
    <row r="308" ht="22.5" customHeight="1" spans="1:34">
      <c r="A308" s="135"/>
      <c r="B308" s="136"/>
      <c r="C308" s="137"/>
      <c r="D308" s="136"/>
      <c r="E308" s="136"/>
      <c r="F308" s="136"/>
      <c r="G308" s="136"/>
      <c r="H308" s="138"/>
      <c r="I308" s="136"/>
      <c r="J308" s="136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</row>
    <row r="309" ht="22.5" customHeight="1" spans="1:34">
      <c r="A309" s="130"/>
      <c r="B309" s="131"/>
      <c r="C309" s="132"/>
      <c r="D309" s="131"/>
      <c r="E309" s="131"/>
      <c r="F309" s="131"/>
      <c r="G309" s="131"/>
      <c r="H309" s="133"/>
      <c r="I309" s="131"/>
      <c r="J309" s="131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  <c r="AC309" s="134"/>
      <c r="AD309" s="134"/>
      <c r="AE309" s="134"/>
      <c r="AF309" s="134"/>
      <c r="AG309" s="134"/>
      <c r="AH309" s="134"/>
    </row>
    <row r="310" ht="22.5" customHeight="1" spans="1:34">
      <c r="A310" s="135"/>
      <c r="B310" s="136"/>
      <c r="C310" s="137"/>
      <c r="D310" s="136"/>
      <c r="E310" s="136"/>
      <c r="F310" s="136"/>
      <c r="G310" s="136"/>
      <c r="H310" s="138"/>
      <c r="I310" s="136"/>
      <c r="J310" s="136"/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</row>
    <row r="311" ht="22.5" customHeight="1" spans="1:34">
      <c r="A311" s="130"/>
      <c r="B311" s="131"/>
      <c r="C311" s="132"/>
      <c r="D311" s="131"/>
      <c r="E311" s="131"/>
      <c r="F311" s="131"/>
      <c r="G311" s="131"/>
      <c r="H311" s="133"/>
      <c r="I311" s="131"/>
      <c r="J311" s="131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4"/>
      <c r="AC311" s="134"/>
      <c r="AD311" s="134"/>
      <c r="AE311" s="134"/>
      <c r="AF311" s="134"/>
      <c r="AG311" s="134"/>
      <c r="AH311" s="134"/>
    </row>
    <row r="312" ht="22.5" customHeight="1" spans="1:34">
      <c r="A312" s="135"/>
      <c r="B312" s="136"/>
      <c r="C312" s="137"/>
      <c r="D312" s="136"/>
      <c r="E312" s="136"/>
      <c r="F312" s="136"/>
      <c r="G312" s="136"/>
      <c r="H312" s="138"/>
      <c r="I312" s="136"/>
      <c r="J312" s="136"/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39"/>
      <c r="AF312" s="139"/>
      <c r="AG312" s="139"/>
      <c r="AH312" s="139"/>
    </row>
    <row r="313" ht="22.5" customHeight="1" spans="1:34">
      <c r="A313" s="130"/>
      <c r="B313" s="131"/>
      <c r="C313" s="132"/>
      <c r="D313" s="131"/>
      <c r="E313" s="131"/>
      <c r="F313" s="131"/>
      <c r="G313" s="131"/>
      <c r="H313" s="133"/>
      <c r="I313" s="131"/>
      <c r="J313" s="131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4"/>
      <c r="AC313" s="134"/>
      <c r="AD313" s="134"/>
      <c r="AE313" s="134"/>
      <c r="AF313" s="134"/>
      <c r="AG313" s="134"/>
      <c r="AH313" s="134"/>
    </row>
    <row r="314" ht="22.5" customHeight="1" spans="1:34">
      <c r="A314" s="135"/>
      <c r="B314" s="136"/>
      <c r="C314" s="137"/>
      <c r="D314" s="136"/>
      <c r="E314" s="136"/>
      <c r="F314" s="136"/>
      <c r="G314" s="136"/>
      <c r="H314" s="138"/>
      <c r="I314" s="136"/>
      <c r="J314" s="136"/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</row>
    <row r="315" ht="22.5" customHeight="1" spans="1:34">
      <c r="A315" s="130"/>
      <c r="B315" s="131"/>
      <c r="C315" s="132"/>
      <c r="D315" s="131"/>
      <c r="E315" s="131"/>
      <c r="F315" s="131"/>
      <c r="G315" s="131"/>
      <c r="H315" s="133"/>
      <c r="I315" s="131"/>
      <c r="J315" s="131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4"/>
      <c r="AC315" s="134"/>
      <c r="AD315" s="134"/>
      <c r="AE315" s="134"/>
      <c r="AF315" s="134"/>
      <c r="AG315" s="134"/>
      <c r="AH315" s="134"/>
    </row>
    <row r="316" ht="22.5" customHeight="1" spans="1:34">
      <c r="A316" s="135"/>
      <c r="B316" s="136"/>
      <c r="C316" s="137"/>
      <c r="D316" s="136"/>
      <c r="E316" s="136"/>
      <c r="F316" s="136"/>
      <c r="G316" s="136"/>
      <c r="H316" s="138"/>
      <c r="I316" s="136"/>
      <c r="J316" s="136"/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39"/>
      <c r="AF316" s="139"/>
      <c r="AG316" s="139"/>
      <c r="AH316" s="139"/>
    </row>
    <row r="317" ht="22.5" customHeight="1" spans="1:34">
      <c r="A317" s="130"/>
      <c r="B317" s="131"/>
      <c r="C317" s="132"/>
      <c r="D317" s="131"/>
      <c r="E317" s="131"/>
      <c r="F317" s="131"/>
      <c r="G317" s="131"/>
      <c r="H317" s="133"/>
      <c r="I317" s="131"/>
      <c r="J317" s="131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  <c r="AC317" s="134"/>
      <c r="AD317" s="134"/>
      <c r="AE317" s="134"/>
      <c r="AF317" s="134"/>
      <c r="AG317" s="134"/>
      <c r="AH317" s="134"/>
    </row>
    <row r="318" ht="22.5" customHeight="1" spans="1:34">
      <c r="A318" s="135"/>
      <c r="B318" s="136"/>
      <c r="C318" s="137"/>
      <c r="D318" s="136"/>
      <c r="E318" s="136"/>
      <c r="F318" s="136"/>
      <c r="G318" s="136"/>
      <c r="H318" s="138"/>
      <c r="I318" s="136"/>
      <c r="J318" s="136"/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39"/>
      <c r="AF318" s="139"/>
      <c r="AG318" s="139"/>
      <c r="AH318" s="139"/>
    </row>
    <row r="319" ht="22.5" customHeight="1" spans="1:34">
      <c r="A319" s="130"/>
      <c r="B319" s="131"/>
      <c r="C319" s="132"/>
      <c r="D319" s="131"/>
      <c r="E319" s="131"/>
      <c r="F319" s="131"/>
      <c r="G319" s="131"/>
      <c r="H319" s="133"/>
      <c r="I319" s="131"/>
      <c r="J319" s="131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</row>
    <row r="320" ht="22.5" customHeight="1" spans="1:34">
      <c r="A320" s="135"/>
      <c r="B320" s="136"/>
      <c r="C320" s="137"/>
      <c r="D320" s="136"/>
      <c r="E320" s="136"/>
      <c r="F320" s="136"/>
      <c r="G320" s="136"/>
      <c r="H320" s="138"/>
      <c r="I320" s="136"/>
      <c r="J320" s="136"/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39"/>
      <c r="AF320" s="139"/>
      <c r="AG320" s="139"/>
      <c r="AH320" s="139"/>
    </row>
    <row r="321" ht="22.5" customHeight="1" spans="1:34">
      <c r="A321" s="130"/>
      <c r="B321" s="131"/>
      <c r="C321" s="132"/>
      <c r="D321" s="131"/>
      <c r="E321" s="131"/>
      <c r="F321" s="131"/>
      <c r="G321" s="131"/>
      <c r="H321" s="133"/>
      <c r="I321" s="131"/>
      <c r="J321" s="131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</row>
    <row r="322" ht="22.5" customHeight="1" spans="1:34">
      <c r="A322" s="135"/>
      <c r="B322" s="136"/>
      <c r="C322" s="137"/>
      <c r="D322" s="136"/>
      <c r="E322" s="136"/>
      <c r="F322" s="136"/>
      <c r="G322" s="136"/>
      <c r="H322" s="138"/>
      <c r="I322" s="136"/>
      <c r="J322" s="136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</row>
    <row r="323" ht="22.5" customHeight="1" spans="1:34">
      <c r="A323" s="130"/>
      <c r="B323" s="131"/>
      <c r="C323" s="132"/>
      <c r="D323" s="131"/>
      <c r="E323" s="131"/>
      <c r="F323" s="131"/>
      <c r="G323" s="131"/>
      <c r="H323" s="133"/>
      <c r="I323" s="131"/>
      <c r="J323" s="131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</row>
    <row r="324" ht="22.5" customHeight="1" spans="1:34">
      <c r="A324" s="135"/>
      <c r="B324" s="136"/>
      <c r="C324" s="137"/>
      <c r="D324" s="136"/>
      <c r="E324" s="136"/>
      <c r="F324" s="136"/>
      <c r="G324" s="136"/>
      <c r="H324" s="138"/>
      <c r="I324" s="136"/>
      <c r="J324" s="136"/>
      <c r="K324" s="139"/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  <c r="AA324" s="139"/>
      <c r="AB324" s="139"/>
      <c r="AC324" s="139"/>
      <c r="AD324" s="139"/>
      <c r="AE324" s="139"/>
      <c r="AF324" s="139"/>
      <c r="AG324" s="139"/>
      <c r="AH324" s="139"/>
    </row>
    <row r="325" ht="22.5" customHeight="1" spans="1:34">
      <c r="A325" s="130"/>
      <c r="B325" s="131"/>
      <c r="C325" s="132"/>
      <c r="D325" s="131"/>
      <c r="E325" s="131"/>
      <c r="F325" s="131"/>
      <c r="G325" s="131"/>
      <c r="H325" s="133"/>
      <c r="I325" s="131"/>
      <c r="J325" s="131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</row>
    <row r="326" ht="22.5" customHeight="1" spans="1:34">
      <c r="A326" s="135"/>
      <c r="B326" s="136"/>
      <c r="C326" s="137"/>
      <c r="D326" s="136"/>
      <c r="E326" s="136"/>
      <c r="F326" s="136"/>
      <c r="G326" s="136"/>
      <c r="H326" s="138"/>
      <c r="I326" s="136"/>
      <c r="J326" s="136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  <c r="AA326" s="139"/>
      <c r="AB326" s="139"/>
      <c r="AC326" s="139"/>
      <c r="AD326" s="139"/>
      <c r="AE326" s="139"/>
      <c r="AF326" s="139"/>
      <c r="AG326" s="139"/>
      <c r="AH326" s="139"/>
    </row>
    <row r="327" ht="22.5" customHeight="1" spans="1:34">
      <c r="A327" s="130"/>
      <c r="B327" s="131"/>
      <c r="C327" s="132"/>
      <c r="D327" s="131"/>
      <c r="E327" s="131"/>
      <c r="F327" s="131"/>
      <c r="G327" s="131"/>
      <c r="H327" s="133"/>
      <c r="I327" s="131"/>
      <c r="J327" s="131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</row>
    <row r="328" ht="22.5" customHeight="1" spans="1:34">
      <c r="A328" s="135"/>
      <c r="B328" s="136"/>
      <c r="C328" s="137"/>
      <c r="D328" s="136"/>
      <c r="E328" s="136"/>
      <c r="F328" s="136"/>
      <c r="G328" s="136"/>
      <c r="H328" s="138"/>
      <c r="I328" s="136"/>
      <c r="J328" s="136"/>
      <c r="K328" s="139"/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  <c r="AA328" s="139"/>
      <c r="AB328" s="139"/>
      <c r="AC328" s="139"/>
      <c r="AD328" s="139"/>
      <c r="AE328" s="139"/>
      <c r="AF328" s="139"/>
      <c r="AG328" s="139"/>
      <c r="AH328" s="139"/>
    </row>
    <row r="329" ht="22.5" customHeight="1" spans="1:34">
      <c r="A329" s="130"/>
      <c r="B329" s="131"/>
      <c r="C329" s="132"/>
      <c r="D329" s="131"/>
      <c r="E329" s="131"/>
      <c r="F329" s="131"/>
      <c r="G329" s="131"/>
      <c r="H329" s="133"/>
      <c r="I329" s="131"/>
      <c r="J329" s="131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</row>
    <row r="330" ht="22.5" customHeight="1" spans="1:34">
      <c r="A330" s="135"/>
      <c r="B330" s="136"/>
      <c r="C330" s="137"/>
      <c r="D330" s="136"/>
      <c r="E330" s="136"/>
      <c r="F330" s="136"/>
      <c r="G330" s="136"/>
      <c r="H330" s="138"/>
      <c r="I330" s="136"/>
      <c r="J330" s="136"/>
      <c r="K330" s="139"/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  <c r="AA330" s="139"/>
      <c r="AB330" s="139"/>
      <c r="AC330" s="139"/>
      <c r="AD330" s="139"/>
      <c r="AE330" s="139"/>
      <c r="AF330" s="139"/>
      <c r="AG330" s="139"/>
      <c r="AH330" s="139"/>
    </row>
    <row r="331" ht="22.5" customHeight="1" spans="1:34">
      <c r="A331" s="130"/>
      <c r="B331" s="131"/>
      <c r="C331" s="132"/>
      <c r="D331" s="131"/>
      <c r="E331" s="131"/>
      <c r="F331" s="131"/>
      <c r="G331" s="131"/>
      <c r="H331" s="133"/>
      <c r="I331" s="131"/>
      <c r="J331" s="131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</row>
    <row r="332" ht="22.5" customHeight="1" spans="1:34">
      <c r="A332" s="135"/>
      <c r="B332" s="136"/>
      <c r="C332" s="137"/>
      <c r="D332" s="136"/>
      <c r="E332" s="136"/>
      <c r="F332" s="136"/>
      <c r="G332" s="136"/>
      <c r="H332" s="138"/>
      <c r="I332" s="136"/>
      <c r="J332" s="136"/>
      <c r="K332" s="139"/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  <c r="AA332" s="139"/>
      <c r="AB332" s="139"/>
      <c r="AC332" s="139"/>
      <c r="AD332" s="139"/>
      <c r="AE332" s="139"/>
      <c r="AF332" s="139"/>
      <c r="AG332" s="139"/>
      <c r="AH332" s="139"/>
    </row>
    <row r="333" ht="22.5" customHeight="1" spans="1:34">
      <c r="A333" s="130"/>
      <c r="B333" s="131"/>
      <c r="C333" s="132"/>
      <c r="D333" s="131"/>
      <c r="E333" s="131"/>
      <c r="F333" s="131"/>
      <c r="G333" s="131"/>
      <c r="H333" s="133"/>
      <c r="I333" s="131"/>
      <c r="J333" s="131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</row>
    <row r="334" ht="22.5" customHeight="1" spans="1:34">
      <c r="A334" s="135"/>
      <c r="B334" s="136"/>
      <c r="C334" s="137"/>
      <c r="D334" s="136"/>
      <c r="E334" s="136"/>
      <c r="F334" s="136"/>
      <c r="G334" s="136"/>
      <c r="H334" s="138"/>
      <c r="I334" s="136"/>
      <c r="J334" s="136"/>
      <c r="K334" s="139"/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  <c r="AA334" s="139"/>
      <c r="AB334" s="139"/>
      <c r="AC334" s="139"/>
      <c r="AD334" s="139"/>
      <c r="AE334" s="139"/>
      <c r="AF334" s="139"/>
      <c r="AG334" s="139"/>
      <c r="AH334" s="139"/>
    </row>
    <row r="335" ht="22.5" customHeight="1" spans="1:34">
      <c r="A335" s="130"/>
      <c r="B335" s="131"/>
      <c r="C335" s="132"/>
      <c r="D335" s="131"/>
      <c r="E335" s="131"/>
      <c r="F335" s="131"/>
      <c r="G335" s="131"/>
      <c r="H335" s="133"/>
      <c r="I335" s="131"/>
      <c r="J335" s="131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</row>
    <row r="336" ht="22.5" customHeight="1" spans="1:34">
      <c r="A336" s="135"/>
      <c r="B336" s="136"/>
      <c r="C336" s="137"/>
      <c r="D336" s="136"/>
      <c r="E336" s="136"/>
      <c r="F336" s="136"/>
      <c r="G336" s="136"/>
      <c r="H336" s="138"/>
      <c r="I336" s="136"/>
      <c r="J336" s="136"/>
      <c r="K336" s="139"/>
      <c r="L336" s="139"/>
      <c r="M336" s="139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39"/>
      <c r="AA336" s="139"/>
      <c r="AB336" s="139"/>
      <c r="AC336" s="139"/>
      <c r="AD336" s="139"/>
      <c r="AE336" s="139"/>
      <c r="AF336" s="139"/>
      <c r="AG336" s="139"/>
      <c r="AH336" s="139"/>
    </row>
    <row r="337" ht="22.5" customHeight="1" spans="1:34">
      <c r="A337" s="130"/>
      <c r="B337" s="131"/>
      <c r="C337" s="132"/>
      <c r="D337" s="131"/>
      <c r="E337" s="131"/>
      <c r="F337" s="131"/>
      <c r="G337" s="131"/>
      <c r="H337" s="133"/>
      <c r="I337" s="131"/>
      <c r="J337" s="131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</row>
    <row r="338" ht="22.5" customHeight="1" spans="1:34">
      <c r="A338" s="135"/>
      <c r="B338" s="136"/>
      <c r="C338" s="137"/>
      <c r="D338" s="136"/>
      <c r="E338" s="136"/>
      <c r="F338" s="136"/>
      <c r="G338" s="136"/>
      <c r="H338" s="138"/>
      <c r="I338" s="136"/>
      <c r="J338" s="136"/>
      <c r="K338" s="139"/>
      <c r="L338" s="139"/>
      <c r="M338" s="139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39"/>
      <c r="AA338" s="139"/>
      <c r="AB338" s="139"/>
      <c r="AC338" s="139"/>
      <c r="AD338" s="139"/>
      <c r="AE338" s="139"/>
      <c r="AF338" s="139"/>
      <c r="AG338" s="139"/>
      <c r="AH338" s="139"/>
    </row>
    <row r="339" ht="22.5" customHeight="1" spans="1:34">
      <c r="A339" s="130"/>
      <c r="B339" s="131"/>
      <c r="C339" s="132"/>
      <c r="D339" s="131"/>
      <c r="E339" s="131"/>
      <c r="F339" s="131"/>
      <c r="G339" s="131"/>
      <c r="H339" s="133"/>
      <c r="I339" s="131"/>
      <c r="J339" s="131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</row>
    <row r="340" ht="22.5" customHeight="1" spans="1:34">
      <c r="A340" s="135"/>
      <c r="B340" s="136"/>
      <c r="C340" s="137"/>
      <c r="D340" s="136"/>
      <c r="E340" s="136"/>
      <c r="F340" s="136"/>
      <c r="G340" s="136"/>
      <c r="H340" s="138"/>
      <c r="I340" s="136"/>
      <c r="J340" s="136"/>
      <c r="K340" s="139"/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  <c r="AA340" s="139"/>
      <c r="AB340" s="139"/>
      <c r="AC340" s="139"/>
      <c r="AD340" s="139"/>
      <c r="AE340" s="139"/>
      <c r="AF340" s="139"/>
      <c r="AG340" s="139"/>
      <c r="AH340" s="139"/>
    </row>
    <row r="341" ht="22.5" customHeight="1" spans="1:34">
      <c r="A341" s="130"/>
      <c r="B341" s="131"/>
      <c r="C341" s="132"/>
      <c r="D341" s="131"/>
      <c r="E341" s="131"/>
      <c r="F341" s="131"/>
      <c r="G341" s="131"/>
      <c r="H341" s="133"/>
      <c r="I341" s="131"/>
      <c r="J341" s="131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</row>
    <row r="342" ht="22.5" customHeight="1" spans="1:34">
      <c r="A342" s="135"/>
      <c r="B342" s="136"/>
      <c r="C342" s="137"/>
      <c r="D342" s="136"/>
      <c r="E342" s="136"/>
      <c r="F342" s="136"/>
      <c r="G342" s="136"/>
      <c r="H342" s="138"/>
      <c r="I342" s="136"/>
      <c r="J342" s="136"/>
      <c r="K342" s="139"/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  <c r="AA342" s="139"/>
      <c r="AB342" s="139"/>
      <c r="AC342" s="139"/>
      <c r="AD342" s="139"/>
      <c r="AE342" s="139"/>
      <c r="AF342" s="139"/>
      <c r="AG342" s="139"/>
      <c r="AH342" s="139"/>
    </row>
    <row r="343" ht="22.5" customHeight="1" spans="1:34">
      <c r="A343" s="130"/>
      <c r="B343" s="131"/>
      <c r="C343" s="132"/>
      <c r="D343" s="131"/>
      <c r="E343" s="131"/>
      <c r="F343" s="131"/>
      <c r="G343" s="131"/>
      <c r="H343" s="133"/>
      <c r="I343" s="131"/>
      <c r="J343" s="131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</row>
    <row r="344" ht="22.5" customHeight="1" spans="1:34">
      <c r="A344" s="135"/>
      <c r="B344" s="136"/>
      <c r="C344" s="137"/>
      <c r="D344" s="136"/>
      <c r="E344" s="136"/>
      <c r="F344" s="136"/>
      <c r="G344" s="136"/>
      <c r="H344" s="138"/>
      <c r="I344" s="136"/>
      <c r="J344" s="136"/>
      <c r="K344" s="139"/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  <c r="AA344" s="139"/>
      <c r="AB344" s="139"/>
      <c r="AC344" s="139"/>
      <c r="AD344" s="139"/>
      <c r="AE344" s="139"/>
      <c r="AF344" s="139"/>
      <c r="AG344" s="139"/>
      <c r="AH344" s="139"/>
    </row>
    <row r="345" ht="22.5" customHeight="1" spans="1:34">
      <c r="A345" s="130"/>
      <c r="B345" s="131"/>
      <c r="C345" s="132"/>
      <c r="D345" s="131"/>
      <c r="E345" s="131"/>
      <c r="F345" s="131"/>
      <c r="G345" s="131"/>
      <c r="H345" s="133"/>
      <c r="I345" s="131"/>
      <c r="J345" s="131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</row>
    <row r="346" ht="22.5" customHeight="1" spans="1:34">
      <c r="A346" s="135"/>
      <c r="B346" s="136"/>
      <c r="C346" s="137"/>
      <c r="D346" s="136"/>
      <c r="E346" s="136"/>
      <c r="F346" s="136"/>
      <c r="G346" s="136"/>
      <c r="H346" s="138"/>
      <c r="I346" s="136"/>
      <c r="J346" s="136"/>
      <c r="K346" s="139"/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  <c r="AA346" s="139"/>
      <c r="AB346" s="139"/>
      <c r="AC346" s="139"/>
      <c r="AD346" s="139"/>
      <c r="AE346" s="139"/>
      <c r="AF346" s="139"/>
      <c r="AG346" s="139"/>
      <c r="AH346" s="139"/>
    </row>
    <row r="347" ht="22.5" customHeight="1" spans="1:34">
      <c r="A347" s="130"/>
      <c r="B347" s="131"/>
      <c r="C347" s="132"/>
      <c r="D347" s="131"/>
      <c r="E347" s="131"/>
      <c r="F347" s="131"/>
      <c r="G347" s="131"/>
      <c r="H347" s="133"/>
      <c r="I347" s="131"/>
      <c r="J347" s="131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</row>
    <row r="348" ht="22.5" customHeight="1" spans="1:34">
      <c r="A348" s="135"/>
      <c r="B348" s="136"/>
      <c r="C348" s="137"/>
      <c r="D348" s="136"/>
      <c r="E348" s="136"/>
      <c r="F348" s="136"/>
      <c r="G348" s="136"/>
      <c r="H348" s="138"/>
      <c r="I348" s="136"/>
      <c r="J348" s="136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139"/>
      <c r="AE348" s="139"/>
      <c r="AF348" s="139"/>
      <c r="AG348" s="139"/>
      <c r="AH348" s="139"/>
    </row>
    <row r="349" ht="22.5" customHeight="1" spans="1:34">
      <c r="A349" s="130"/>
      <c r="B349" s="131"/>
      <c r="C349" s="132"/>
      <c r="D349" s="131"/>
      <c r="E349" s="131"/>
      <c r="F349" s="131"/>
      <c r="G349" s="131"/>
      <c r="H349" s="133"/>
      <c r="I349" s="131"/>
      <c r="J349" s="131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</row>
    <row r="350" ht="22.5" customHeight="1" spans="1:34">
      <c r="A350" s="135"/>
      <c r="B350" s="136"/>
      <c r="C350" s="137"/>
      <c r="D350" s="136"/>
      <c r="E350" s="136"/>
      <c r="F350" s="136"/>
      <c r="G350" s="136"/>
      <c r="H350" s="138"/>
      <c r="I350" s="136"/>
      <c r="J350" s="136"/>
      <c r="K350" s="139"/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  <c r="AA350" s="139"/>
      <c r="AB350" s="139"/>
      <c r="AC350" s="139"/>
      <c r="AD350" s="139"/>
      <c r="AE350" s="139"/>
      <c r="AF350" s="139"/>
      <c r="AG350" s="139"/>
      <c r="AH350" s="139"/>
    </row>
    <row r="351" ht="22.5" customHeight="1" spans="1:34">
      <c r="A351" s="130"/>
      <c r="B351" s="131"/>
      <c r="C351" s="132"/>
      <c r="D351" s="131"/>
      <c r="E351" s="131"/>
      <c r="F351" s="131"/>
      <c r="G351" s="131"/>
      <c r="H351" s="133"/>
      <c r="I351" s="131"/>
      <c r="J351" s="131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</row>
    <row r="352" ht="22.5" customHeight="1" spans="1:34">
      <c r="A352" s="135"/>
      <c r="B352" s="136"/>
      <c r="C352" s="137"/>
      <c r="D352" s="136"/>
      <c r="E352" s="136"/>
      <c r="F352" s="136"/>
      <c r="G352" s="136"/>
      <c r="H352" s="138"/>
      <c r="I352" s="136"/>
      <c r="J352" s="136"/>
      <c r="K352" s="139"/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  <c r="AA352" s="139"/>
      <c r="AB352" s="139"/>
      <c r="AC352" s="139"/>
      <c r="AD352" s="139"/>
      <c r="AE352" s="139"/>
      <c r="AF352" s="139"/>
      <c r="AG352" s="139"/>
      <c r="AH352" s="139"/>
    </row>
    <row r="353" ht="22.5" customHeight="1" spans="1:34">
      <c r="A353" s="130"/>
      <c r="B353" s="131"/>
      <c r="C353" s="132"/>
      <c r="D353" s="131"/>
      <c r="E353" s="131"/>
      <c r="F353" s="131"/>
      <c r="G353" s="131"/>
      <c r="H353" s="133"/>
      <c r="I353" s="131"/>
      <c r="J353" s="131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</row>
    <row r="354" ht="22.5" customHeight="1" spans="1:34">
      <c r="A354" s="135"/>
      <c r="B354" s="136"/>
      <c r="C354" s="137"/>
      <c r="D354" s="136"/>
      <c r="E354" s="136"/>
      <c r="F354" s="136"/>
      <c r="G354" s="136"/>
      <c r="H354" s="138"/>
      <c r="I354" s="136"/>
      <c r="J354" s="136"/>
      <c r="K354" s="139"/>
      <c r="L354" s="139"/>
      <c r="M354" s="139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39"/>
      <c r="AA354" s="139"/>
      <c r="AB354" s="139"/>
      <c r="AC354" s="139"/>
      <c r="AD354" s="139"/>
      <c r="AE354" s="139"/>
      <c r="AF354" s="139"/>
      <c r="AG354" s="139"/>
      <c r="AH354" s="139"/>
    </row>
    <row r="355" ht="22.5" customHeight="1" spans="1:34">
      <c r="A355" s="130"/>
      <c r="B355" s="131"/>
      <c r="C355" s="132"/>
      <c r="D355" s="131"/>
      <c r="E355" s="131"/>
      <c r="F355" s="131"/>
      <c r="G355" s="131"/>
      <c r="H355" s="133"/>
      <c r="I355" s="131"/>
      <c r="J355" s="131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4"/>
      <c r="AC355" s="134"/>
      <c r="AD355" s="134"/>
      <c r="AE355" s="134"/>
      <c r="AF355" s="134"/>
      <c r="AG355" s="134"/>
      <c r="AH355" s="134"/>
    </row>
    <row r="356" ht="22.5" customHeight="1" spans="1:34">
      <c r="A356" s="135"/>
      <c r="B356" s="136"/>
      <c r="C356" s="137"/>
      <c r="D356" s="136"/>
      <c r="E356" s="136"/>
      <c r="F356" s="136"/>
      <c r="G356" s="136"/>
      <c r="H356" s="138"/>
      <c r="I356" s="136"/>
      <c r="J356" s="136"/>
      <c r="K356" s="139"/>
      <c r="L356" s="139"/>
      <c r="M356" s="139"/>
      <c r="N356" s="139"/>
      <c r="O356" s="139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39"/>
      <c r="AA356" s="139"/>
      <c r="AB356" s="139"/>
      <c r="AC356" s="139"/>
      <c r="AD356" s="139"/>
      <c r="AE356" s="139"/>
      <c r="AF356" s="139"/>
      <c r="AG356" s="139"/>
      <c r="AH356" s="139"/>
    </row>
    <row r="357" ht="22.5" customHeight="1" spans="1:34">
      <c r="A357" s="130"/>
      <c r="B357" s="131"/>
      <c r="C357" s="132"/>
      <c r="D357" s="131"/>
      <c r="E357" s="131"/>
      <c r="F357" s="131"/>
      <c r="G357" s="131"/>
      <c r="H357" s="133"/>
      <c r="I357" s="131"/>
      <c r="J357" s="131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4"/>
      <c r="AC357" s="134"/>
      <c r="AD357" s="134"/>
      <c r="AE357" s="134"/>
      <c r="AF357" s="134"/>
      <c r="AG357" s="134"/>
      <c r="AH357" s="134"/>
    </row>
    <row r="358" ht="22.5" customHeight="1" spans="1:34">
      <c r="A358" s="135"/>
      <c r="B358" s="136"/>
      <c r="C358" s="137"/>
      <c r="D358" s="136"/>
      <c r="E358" s="136"/>
      <c r="F358" s="136"/>
      <c r="G358" s="136"/>
      <c r="H358" s="138"/>
      <c r="I358" s="136"/>
      <c r="J358" s="136"/>
      <c r="K358" s="139"/>
      <c r="L358" s="139"/>
      <c r="M358" s="139"/>
      <c r="N358" s="139"/>
      <c r="O358" s="139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39"/>
      <c r="AA358" s="139"/>
      <c r="AB358" s="139"/>
      <c r="AC358" s="139"/>
      <c r="AD358" s="139"/>
      <c r="AE358" s="139"/>
      <c r="AF358" s="139"/>
      <c r="AG358" s="139"/>
      <c r="AH358" s="139"/>
    </row>
    <row r="359" ht="22.5" customHeight="1" spans="1:34">
      <c r="A359" s="130"/>
      <c r="B359" s="131"/>
      <c r="C359" s="132"/>
      <c r="D359" s="131"/>
      <c r="E359" s="131"/>
      <c r="F359" s="131"/>
      <c r="G359" s="131"/>
      <c r="H359" s="133"/>
      <c r="I359" s="131"/>
      <c r="J359" s="131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</row>
    <row r="360" ht="22.5" customHeight="1" spans="1:34">
      <c r="A360" s="135"/>
      <c r="B360" s="136"/>
      <c r="C360" s="137"/>
      <c r="D360" s="136"/>
      <c r="E360" s="136"/>
      <c r="F360" s="136"/>
      <c r="G360" s="136"/>
      <c r="H360" s="138"/>
      <c r="I360" s="136"/>
      <c r="J360" s="136"/>
      <c r="K360" s="139"/>
      <c r="L360" s="139"/>
      <c r="M360" s="139"/>
      <c r="N360" s="139"/>
      <c r="O360" s="139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39"/>
      <c r="AA360" s="139"/>
      <c r="AB360" s="139"/>
      <c r="AC360" s="139"/>
      <c r="AD360" s="139"/>
      <c r="AE360" s="139"/>
      <c r="AF360" s="139"/>
      <c r="AG360" s="139"/>
      <c r="AH360" s="139"/>
    </row>
    <row r="361" ht="22.5" customHeight="1" spans="1:34">
      <c r="A361" s="130"/>
      <c r="B361" s="131"/>
      <c r="C361" s="132"/>
      <c r="D361" s="131"/>
      <c r="E361" s="131"/>
      <c r="F361" s="131"/>
      <c r="G361" s="131"/>
      <c r="H361" s="133"/>
      <c r="I361" s="131"/>
      <c r="J361" s="131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4"/>
      <c r="AC361" s="134"/>
      <c r="AD361" s="134"/>
      <c r="AE361" s="134"/>
      <c r="AF361" s="134"/>
      <c r="AG361" s="134"/>
      <c r="AH361" s="134"/>
    </row>
    <row r="362" ht="22.5" customHeight="1" spans="1:34">
      <c r="A362" s="135"/>
      <c r="B362" s="136"/>
      <c r="C362" s="137"/>
      <c r="D362" s="136"/>
      <c r="E362" s="136"/>
      <c r="F362" s="136"/>
      <c r="G362" s="136"/>
      <c r="H362" s="138"/>
      <c r="I362" s="136"/>
      <c r="J362" s="136"/>
      <c r="K362" s="139"/>
      <c r="L362" s="139"/>
      <c r="M362" s="139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  <c r="AA362" s="139"/>
      <c r="AB362" s="139"/>
      <c r="AC362" s="139"/>
      <c r="AD362" s="139"/>
      <c r="AE362" s="139"/>
      <c r="AF362" s="139"/>
      <c r="AG362" s="139"/>
      <c r="AH362" s="139"/>
    </row>
    <row r="363" ht="22.5" customHeight="1" spans="1:34">
      <c r="A363" s="130"/>
      <c r="B363" s="131"/>
      <c r="C363" s="132"/>
      <c r="D363" s="131"/>
      <c r="E363" s="131"/>
      <c r="F363" s="131"/>
      <c r="G363" s="131"/>
      <c r="H363" s="133"/>
      <c r="I363" s="131"/>
      <c r="J363" s="131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4"/>
      <c r="AC363" s="134"/>
      <c r="AD363" s="134"/>
      <c r="AE363" s="134"/>
      <c r="AF363" s="134"/>
      <c r="AG363" s="134"/>
      <c r="AH363" s="134"/>
    </row>
    <row r="364" ht="22.5" customHeight="1" spans="1:34">
      <c r="A364" s="135"/>
      <c r="B364" s="136"/>
      <c r="C364" s="137"/>
      <c r="D364" s="136"/>
      <c r="E364" s="136"/>
      <c r="F364" s="136"/>
      <c r="G364" s="136"/>
      <c r="H364" s="138"/>
      <c r="I364" s="136"/>
      <c r="J364" s="136"/>
      <c r="K364" s="139"/>
      <c r="L364" s="139"/>
      <c r="M364" s="139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39"/>
      <c r="AA364" s="139"/>
      <c r="AB364" s="139"/>
      <c r="AC364" s="139"/>
      <c r="AD364" s="139"/>
      <c r="AE364" s="139"/>
      <c r="AF364" s="139"/>
      <c r="AG364" s="139"/>
      <c r="AH364" s="139"/>
    </row>
    <row r="365" ht="22.5" customHeight="1" spans="1:34">
      <c r="A365" s="130"/>
      <c r="B365" s="131"/>
      <c r="C365" s="132"/>
      <c r="D365" s="131"/>
      <c r="E365" s="131"/>
      <c r="F365" s="131"/>
      <c r="G365" s="131"/>
      <c r="H365" s="133"/>
      <c r="I365" s="131"/>
      <c r="J365" s="131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4"/>
      <c r="AC365" s="134"/>
      <c r="AD365" s="134"/>
      <c r="AE365" s="134"/>
      <c r="AF365" s="134"/>
      <c r="AG365" s="134"/>
      <c r="AH365" s="134"/>
    </row>
    <row r="366" ht="22.5" customHeight="1" spans="1:34">
      <c r="A366" s="135"/>
      <c r="B366" s="136"/>
      <c r="C366" s="137"/>
      <c r="D366" s="136"/>
      <c r="E366" s="136"/>
      <c r="F366" s="136"/>
      <c r="G366" s="136"/>
      <c r="H366" s="138"/>
      <c r="I366" s="136"/>
      <c r="J366" s="136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  <c r="AA366" s="139"/>
      <c r="AB366" s="139"/>
      <c r="AC366" s="139"/>
      <c r="AD366" s="139"/>
      <c r="AE366" s="139"/>
      <c r="AF366" s="139"/>
      <c r="AG366" s="139"/>
      <c r="AH366" s="139"/>
    </row>
    <row r="367" ht="22.5" customHeight="1" spans="1:34">
      <c r="A367" s="130"/>
      <c r="B367" s="131"/>
      <c r="C367" s="132"/>
      <c r="D367" s="131"/>
      <c r="E367" s="131"/>
      <c r="F367" s="131"/>
      <c r="G367" s="131"/>
      <c r="H367" s="133"/>
      <c r="I367" s="131"/>
      <c r="J367" s="131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4"/>
      <c r="AC367" s="134"/>
      <c r="AD367" s="134"/>
      <c r="AE367" s="134"/>
      <c r="AF367" s="134"/>
      <c r="AG367" s="134"/>
      <c r="AH367" s="134"/>
    </row>
    <row r="368" ht="22.5" customHeight="1" spans="1:34">
      <c r="A368" s="135"/>
      <c r="B368" s="136"/>
      <c r="C368" s="137"/>
      <c r="D368" s="136"/>
      <c r="E368" s="136"/>
      <c r="F368" s="136"/>
      <c r="G368" s="136"/>
      <c r="H368" s="138"/>
      <c r="I368" s="136"/>
      <c r="J368" s="136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</row>
    <row r="369" ht="22.5" customHeight="1" spans="1:34">
      <c r="A369" s="130"/>
      <c r="B369" s="131"/>
      <c r="C369" s="132"/>
      <c r="D369" s="131"/>
      <c r="E369" s="131"/>
      <c r="F369" s="131"/>
      <c r="G369" s="131"/>
      <c r="H369" s="133"/>
      <c r="I369" s="131"/>
      <c r="J369" s="131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4"/>
      <c r="AC369" s="134"/>
      <c r="AD369" s="134"/>
      <c r="AE369" s="134"/>
      <c r="AF369" s="134"/>
      <c r="AG369" s="134"/>
      <c r="AH369" s="134"/>
    </row>
    <row r="370" ht="22.5" customHeight="1" spans="1:34">
      <c r="A370" s="135"/>
      <c r="B370" s="136"/>
      <c r="C370" s="137"/>
      <c r="D370" s="136"/>
      <c r="E370" s="136"/>
      <c r="F370" s="136"/>
      <c r="G370" s="136"/>
      <c r="H370" s="138"/>
      <c r="I370" s="136"/>
      <c r="J370" s="136"/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  <c r="AA370" s="139"/>
      <c r="AB370" s="139"/>
      <c r="AC370" s="139"/>
      <c r="AD370" s="139"/>
      <c r="AE370" s="139"/>
      <c r="AF370" s="139"/>
      <c r="AG370" s="139"/>
      <c r="AH370" s="139"/>
    </row>
    <row r="371" ht="22.5" customHeight="1" spans="1:34">
      <c r="A371" s="130"/>
      <c r="B371" s="131"/>
      <c r="C371" s="132"/>
      <c r="D371" s="131"/>
      <c r="E371" s="131"/>
      <c r="F371" s="131"/>
      <c r="G371" s="131"/>
      <c r="H371" s="133"/>
      <c r="I371" s="131"/>
      <c r="J371" s="131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4"/>
      <c r="AC371" s="134"/>
      <c r="AD371" s="134"/>
      <c r="AE371" s="134"/>
      <c r="AF371" s="134"/>
      <c r="AG371" s="134"/>
      <c r="AH371" s="134"/>
    </row>
    <row r="372" ht="22.5" customHeight="1" spans="1:34">
      <c r="A372" s="135"/>
      <c r="B372" s="136"/>
      <c r="C372" s="137"/>
      <c r="D372" s="136"/>
      <c r="E372" s="136"/>
      <c r="F372" s="136"/>
      <c r="G372" s="136"/>
      <c r="H372" s="138"/>
      <c r="I372" s="136"/>
      <c r="J372" s="136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  <c r="AA372" s="139"/>
      <c r="AB372" s="139"/>
      <c r="AC372" s="139"/>
      <c r="AD372" s="139"/>
      <c r="AE372" s="139"/>
      <c r="AF372" s="139"/>
      <c r="AG372" s="139"/>
      <c r="AH372" s="139"/>
    </row>
    <row r="373" ht="22.5" customHeight="1" spans="1:34">
      <c r="A373" s="130"/>
      <c r="B373" s="131"/>
      <c r="C373" s="132"/>
      <c r="D373" s="131"/>
      <c r="E373" s="131"/>
      <c r="F373" s="131"/>
      <c r="G373" s="131"/>
      <c r="H373" s="133"/>
      <c r="I373" s="131"/>
      <c r="J373" s="131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4"/>
      <c r="AC373" s="134"/>
      <c r="AD373" s="134"/>
      <c r="AE373" s="134"/>
      <c r="AF373" s="134"/>
      <c r="AG373" s="134"/>
      <c r="AH373" s="134"/>
    </row>
    <row r="374" ht="22.5" customHeight="1" spans="1:34">
      <c r="A374" s="135"/>
      <c r="B374" s="136"/>
      <c r="C374" s="137"/>
      <c r="D374" s="136"/>
      <c r="E374" s="136"/>
      <c r="F374" s="136"/>
      <c r="G374" s="136"/>
      <c r="H374" s="138"/>
      <c r="I374" s="136"/>
      <c r="J374" s="136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  <c r="AA374" s="139"/>
      <c r="AB374" s="139"/>
      <c r="AC374" s="139"/>
      <c r="AD374" s="139"/>
      <c r="AE374" s="139"/>
      <c r="AF374" s="139"/>
      <c r="AG374" s="139"/>
      <c r="AH374" s="139"/>
    </row>
    <row r="375" ht="22.5" customHeight="1" spans="1:34">
      <c r="A375" s="130"/>
      <c r="B375" s="131"/>
      <c r="C375" s="132"/>
      <c r="D375" s="131"/>
      <c r="E375" s="131"/>
      <c r="F375" s="131"/>
      <c r="G375" s="131"/>
      <c r="H375" s="133"/>
      <c r="I375" s="131"/>
      <c r="J375" s="131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4"/>
      <c r="AC375" s="134"/>
      <c r="AD375" s="134"/>
      <c r="AE375" s="134"/>
      <c r="AF375" s="134"/>
      <c r="AG375" s="134"/>
      <c r="AH375" s="134"/>
    </row>
    <row r="376" ht="22.5" customHeight="1" spans="1:34">
      <c r="A376" s="135"/>
      <c r="B376" s="136"/>
      <c r="C376" s="137"/>
      <c r="D376" s="136"/>
      <c r="E376" s="136"/>
      <c r="F376" s="136"/>
      <c r="G376" s="136"/>
      <c r="H376" s="138"/>
      <c r="I376" s="136"/>
      <c r="J376" s="136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  <c r="AA376" s="139"/>
      <c r="AB376" s="139"/>
      <c r="AC376" s="139"/>
      <c r="AD376" s="139"/>
      <c r="AE376" s="139"/>
      <c r="AF376" s="139"/>
      <c r="AG376" s="139"/>
      <c r="AH376" s="139"/>
    </row>
    <row r="377" ht="22.5" customHeight="1" spans="1:34">
      <c r="A377" s="130"/>
      <c r="B377" s="131"/>
      <c r="C377" s="132"/>
      <c r="D377" s="131"/>
      <c r="E377" s="131"/>
      <c r="F377" s="131"/>
      <c r="G377" s="131"/>
      <c r="H377" s="133"/>
      <c r="I377" s="131"/>
      <c r="J377" s="131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4"/>
      <c r="AC377" s="134"/>
      <c r="AD377" s="134"/>
      <c r="AE377" s="134"/>
      <c r="AF377" s="134"/>
      <c r="AG377" s="134"/>
      <c r="AH377" s="134"/>
    </row>
    <row r="378" ht="22.5" customHeight="1" spans="1:34">
      <c r="A378" s="135"/>
      <c r="B378" s="136"/>
      <c r="C378" s="137"/>
      <c r="D378" s="136"/>
      <c r="E378" s="136"/>
      <c r="F378" s="136"/>
      <c r="G378" s="136"/>
      <c r="H378" s="138"/>
      <c r="I378" s="136"/>
      <c r="J378" s="136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39"/>
      <c r="AA378" s="139"/>
      <c r="AB378" s="139"/>
      <c r="AC378" s="139"/>
      <c r="AD378" s="139"/>
      <c r="AE378" s="139"/>
      <c r="AF378" s="139"/>
      <c r="AG378" s="139"/>
      <c r="AH378" s="139"/>
    </row>
    <row r="379" ht="22.5" customHeight="1" spans="1:34">
      <c r="A379" s="130"/>
      <c r="B379" s="131"/>
      <c r="C379" s="132"/>
      <c r="D379" s="131"/>
      <c r="E379" s="131"/>
      <c r="F379" s="131"/>
      <c r="G379" s="131"/>
      <c r="H379" s="133"/>
      <c r="I379" s="131"/>
      <c r="J379" s="131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4"/>
      <c r="AC379" s="134"/>
      <c r="AD379" s="134"/>
      <c r="AE379" s="134"/>
      <c r="AF379" s="134"/>
      <c r="AG379" s="134"/>
      <c r="AH379" s="134"/>
    </row>
    <row r="380" ht="22.5" customHeight="1" spans="1:34">
      <c r="A380" s="135"/>
      <c r="B380" s="136"/>
      <c r="C380" s="137"/>
      <c r="D380" s="136"/>
      <c r="E380" s="136"/>
      <c r="F380" s="136"/>
      <c r="G380" s="136"/>
      <c r="H380" s="138"/>
      <c r="I380" s="136"/>
      <c r="J380" s="136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39"/>
      <c r="AA380" s="139"/>
      <c r="AB380" s="139"/>
      <c r="AC380" s="139"/>
      <c r="AD380" s="139"/>
      <c r="AE380" s="139"/>
      <c r="AF380" s="139"/>
      <c r="AG380" s="139"/>
      <c r="AH380" s="139"/>
    </row>
    <row r="381" ht="22.5" customHeight="1" spans="1:34">
      <c r="A381" s="130"/>
      <c r="B381" s="131"/>
      <c r="C381" s="132"/>
      <c r="D381" s="131"/>
      <c r="E381" s="131"/>
      <c r="F381" s="131"/>
      <c r="G381" s="131"/>
      <c r="H381" s="133"/>
      <c r="I381" s="131"/>
      <c r="J381" s="131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  <c r="AA381" s="134"/>
      <c r="AB381" s="134"/>
      <c r="AC381" s="134"/>
      <c r="AD381" s="134"/>
      <c r="AE381" s="134"/>
      <c r="AF381" s="134"/>
      <c r="AG381" s="134"/>
      <c r="AH381" s="134"/>
    </row>
    <row r="382" ht="22.5" customHeight="1" spans="1:34">
      <c r="A382" s="135"/>
      <c r="B382" s="136"/>
      <c r="C382" s="137"/>
      <c r="D382" s="136"/>
      <c r="E382" s="136"/>
      <c r="F382" s="136"/>
      <c r="G382" s="136"/>
      <c r="H382" s="138"/>
      <c r="I382" s="136"/>
      <c r="J382" s="136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39"/>
      <c r="AA382" s="139"/>
      <c r="AB382" s="139"/>
      <c r="AC382" s="139"/>
      <c r="AD382" s="139"/>
      <c r="AE382" s="139"/>
      <c r="AF382" s="139"/>
      <c r="AG382" s="139"/>
      <c r="AH382" s="139"/>
    </row>
    <row r="383" ht="22.5" customHeight="1" spans="1:34">
      <c r="A383" s="130"/>
      <c r="B383" s="131"/>
      <c r="C383" s="132"/>
      <c r="D383" s="131"/>
      <c r="E383" s="131"/>
      <c r="F383" s="131"/>
      <c r="G383" s="131"/>
      <c r="H383" s="133"/>
      <c r="I383" s="131"/>
      <c r="J383" s="131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4"/>
      <c r="AC383" s="134"/>
      <c r="AD383" s="134"/>
      <c r="AE383" s="134"/>
      <c r="AF383" s="134"/>
      <c r="AG383" s="134"/>
      <c r="AH383" s="134"/>
    </row>
    <row r="384" ht="22.5" customHeight="1" spans="1:34">
      <c r="A384" s="135"/>
      <c r="B384" s="136"/>
      <c r="C384" s="137"/>
      <c r="D384" s="136"/>
      <c r="E384" s="136"/>
      <c r="F384" s="136"/>
      <c r="G384" s="136"/>
      <c r="H384" s="138"/>
      <c r="I384" s="136"/>
      <c r="J384" s="136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</row>
    <row r="385" ht="22.5" customHeight="1" spans="1:34">
      <c r="A385" s="130"/>
      <c r="B385" s="131"/>
      <c r="C385" s="132"/>
      <c r="D385" s="131"/>
      <c r="E385" s="131"/>
      <c r="F385" s="131"/>
      <c r="G385" s="131"/>
      <c r="H385" s="133"/>
      <c r="I385" s="131"/>
      <c r="J385" s="131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4"/>
      <c r="AC385" s="134"/>
      <c r="AD385" s="134"/>
      <c r="AE385" s="134"/>
      <c r="AF385" s="134"/>
      <c r="AG385" s="134"/>
      <c r="AH385" s="134"/>
    </row>
    <row r="386" ht="22.5" customHeight="1" spans="1:34">
      <c r="A386" s="135"/>
      <c r="B386" s="136"/>
      <c r="C386" s="137"/>
      <c r="D386" s="136"/>
      <c r="E386" s="136"/>
      <c r="F386" s="136"/>
      <c r="G386" s="136"/>
      <c r="H386" s="138"/>
      <c r="I386" s="136"/>
      <c r="J386" s="136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9"/>
      <c r="AD386" s="139"/>
      <c r="AE386" s="139"/>
      <c r="AF386" s="139"/>
      <c r="AG386" s="139"/>
      <c r="AH386" s="139"/>
    </row>
    <row r="387" ht="22.5" customHeight="1" spans="1:34">
      <c r="A387" s="130"/>
      <c r="B387" s="131"/>
      <c r="C387" s="132"/>
      <c r="D387" s="131"/>
      <c r="E387" s="131"/>
      <c r="F387" s="131"/>
      <c r="G387" s="131"/>
      <c r="H387" s="133"/>
      <c r="I387" s="131"/>
      <c r="J387" s="131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4"/>
      <c r="AC387" s="134"/>
      <c r="AD387" s="134"/>
      <c r="AE387" s="134"/>
      <c r="AF387" s="134"/>
      <c r="AG387" s="134"/>
      <c r="AH387" s="134"/>
    </row>
    <row r="388" ht="22.5" customHeight="1" spans="1:34">
      <c r="A388" s="135"/>
      <c r="B388" s="136"/>
      <c r="C388" s="137"/>
      <c r="D388" s="136"/>
      <c r="E388" s="136"/>
      <c r="F388" s="136"/>
      <c r="G388" s="136"/>
      <c r="H388" s="138"/>
      <c r="I388" s="136"/>
      <c r="J388" s="136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9"/>
      <c r="AD388" s="139"/>
      <c r="AE388" s="139"/>
      <c r="AF388" s="139"/>
      <c r="AG388" s="139"/>
      <c r="AH388" s="139"/>
    </row>
    <row r="389" ht="22.5" customHeight="1" spans="1:34">
      <c r="A389" s="130"/>
      <c r="B389" s="131"/>
      <c r="C389" s="132"/>
      <c r="D389" s="131"/>
      <c r="E389" s="131"/>
      <c r="F389" s="131"/>
      <c r="G389" s="131"/>
      <c r="H389" s="133"/>
      <c r="I389" s="131"/>
      <c r="J389" s="131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4"/>
      <c r="AC389" s="134"/>
      <c r="AD389" s="134"/>
      <c r="AE389" s="134"/>
      <c r="AF389" s="134"/>
      <c r="AG389" s="134"/>
      <c r="AH389" s="134"/>
    </row>
    <row r="390" ht="22.5" customHeight="1" spans="1:34">
      <c r="A390" s="135"/>
      <c r="B390" s="136"/>
      <c r="C390" s="137"/>
      <c r="D390" s="136"/>
      <c r="E390" s="136"/>
      <c r="F390" s="136"/>
      <c r="G390" s="136"/>
      <c r="H390" s="138"/>
      <c r="I390" s="136"/>
      <c r="J390" s="136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9"/>
      <c r="AD390" s="139"/>
      <c r="AE390" s="139"/>
      <c r="AF390" s="139"/>
      <c r="AG390" s="139"/>
      <c r="AH390" s="139"/>
    </row>
    <row r="391" ht="22.5" customHeight="1" spans="1:34">
      <c r="A391" s="130"/>
      <c r="B391" s="131"/>
      <c r="C391" s="132"/>
      <c r="D391" s="131"/>
      <c r="E391" s="131"/>
      <c r="F391" s="131"/>
      <c r="G391" s="131"/>
      <c r="H391" s="133"/>
      <c r="I391" s="131"/>
      <c r="J391" s="131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4"/>
      <c r="AC391" s="134"/>
      <c r="AD391" s="134"/>
      <c r="AE391" s="134"/>
      <c r="AF391" s="134"/>
      <c r="AG391" s="134"/>
      <c r="AH391" s="134"/>
    </row>
    <row r="392" ht="22.5" customHeight="1" spans="1:34">
      <c r="A392" s="135"/>
      <c r="B392" s="136"/>
      <c r="C392" s="137"/>
      <c r="D392" s="136"/>
      <c r="E392" s="136"/>
      <c r="F392" s="136"/>
      <c r="G392" s="136"/>
      <c r="H392" s="138"/>
      <c r="I392" s="136"/>
      <c r="J392" s="136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9"/>
      <c r="AD392" s="139"/>
      <c r="AE392" s="139"/>
      <c r="AF392" s="139"/>
      <c r="AG392" s="139"/>
      <c r="AH392" s="139"/>
    </row>
    <row r="393" ht="22.5" customHeight="1" spans="1:34">
      <c r="A393" s="130"/>
      <c r="B393" s="131"/>
      <c r="C393" s="132"/>
      <c r="D393" s="131"/>
      <c r="E393" s="131"/>
      <c r="F393" s="131"/>
      <c r="G393" s="131"/>
      <c r="H393" s="133"/>
      <c r="I393" s="131"/>
      <c r="J393" s="131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  <c r="AA393" s="134"/>
      <c r="AB393" s="134"/>
      <c r="AC393" s="134"/>
      <c r="AD393" s="134"/>
      <c r="AE393" s="134"/>
      <c r="AF393" s="134"/>
      <c r="AG393" s="134"/>
      <c r="AH393" s="134"/>
    </row>
    <row r="394" ht="22.5" customHeight="1" spans="1:34">
      <c r="A394" s="135"/>
      <c r="B394" s="136"/>
      <c r="C394" s="137"/>
      <c r="D394" s="136"/>
      <c r="E394" s="136"/>
      <c r="F394" s="136"/>
      <c r="G394" s="136"/>
      <c r="H394" s="138"/>
      <c r="I394" s="136"/>
      <c r="J394" s="136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39"/>
      <c r="AA394" s="139"/>
      <c r="AB394" s="139"/>
      <c r="AC394" s="139"/>
      <c r="AD394" s="139"/>
      <c r="AE394" s="139"/>
      <c r="AF394" s="139"/>
      <c r="AG394" s="139"/>
      <c r="AH394" s="139"/>
    </row>
    <row r="395" ht="22.5" customHeight="1" spans="1:34">
      <c r="A395" s="130"/>
      <c r="B395" s="131"/>
      <c r="C395" s="132"/>
      <c r="D395" s="131"/>
      <c r="E395" s="131"/>
      <c r="F395" s="131"/>
      <c r="G395" s="131"/>
      <c r="H395" s="133"/>
      <c r="I395" s="131"/>
      <c r="J395" s="131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  <c r="AA395" s="134"/>
      <c r="AB395" s="134"/>
      <c r="AC395" s="134"/>
      <c r="AD395" s="134"/>
      <c r="AE395" s="134"/>
      <c r="AF395" s="134"/>
      <c r="AG395" s="134"/>
      <c r="AH395" s="134"/>
    </row>
    <row r="396" ht="22.5" customHeight="1" spans="1:34">
      <c r="A396" s="135"/>
      <c r="B396" s="136"/>
      <c r="C396" s="137"/>
      <c r="D396" s="136"/>
      <c r="E396" s="136"/>
      <c r="F396" s="136"/>
      <c r="G396" s="136"/>
      <c r="H396" s="138"/>
      <c r="I396" s="136"/>
      <c r="J396" s="136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  <c r="AA396" s="139"/>
      <c r="AB396" s="139"/>
      <c r="AC396" s="139"/>
      <c r="AD396" s="139"/>
      <c r="AE396" s="139"/>
      <c r="AF396" s="139"/>
      <c r="AG396" s="139"/>
      <c r="AH396" s="139"/>
    </row>
    <row r="397" ht="22.5" customHeight="1" spans="1:34">
      <c r="A397" s="130"/>
      <c r="B397" s="131"/>
      <c r="C397" s="132"/>
      <c r="D397" s="131"/>
      <c r="E397" s="131"/>
      <c r="F397" s="131"/>
      <c r="G397" s="131"/>
      <c r="H397" s="133"/>
      <c r="I397" s="131"/>
      <c r="J397" s="131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  <c r="AA397" s="134"/>
      <c r="AB397" s="134"/>
      <c r="AC397" s="134"/>
      <c r="AD397" s="134"/>
      <c r="AE397" s="134"/>
      <c r="AF397" s="134"/>
      <c r="AG397" s="134"/>
      <c r="AH397" s="134"/>
    </row>
    <row r="398" ht="22.5" customHeight="1" spans="1:34">
      <c r="A398" s="135"/>
      <c r="B398" s="136"/>
      <c r="C398" s="137"/>
      <c r="D398" s="136"/>
      <c r="E398" s="136"/>
      <c r="F398" s="136"/>
      <c r="G398" s="136"/>
      <c r="H398" s="138"/>
      <c r="I398" s="136"/>
      <c r="J398" s="136"/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39"/>
      <c r="AA398" s="139"/>
      <c r="AB398" s="139"/>
      <c r="AC398" s="139"/>
      <c r="AD398" s="139"/>
      <c r="AE398" s="139"/>
      <c r="AF398" s="139"/>
      <c r="AG398" s="139"/>
      <c r="AH398" s="139"/>
    </row>
    <row r="399" ht="22.5" customHeight="1" spans="1:34">
      <c r="A399" s="130"/>
      <c r="B399" s="131"/>
      <c r="C399" s="132"/>
      <c r="D399" s="131"/>
      <c r="E399" s="131"/>
      <c r="F399" s="131"/>
      <c r="G399" s="131"/>
      <c r="H399" s="133"/>
      <c r="I399" s="131"/>
      <c r="J399" s="131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  <c r="AA399" s="134"/>
      <c r="AB399" s="134"/>
      <c r="AC399" s="134"/>
      <c r="AD399" s="134"/>
      <c r="AE399" s="134"/>
      <c r="AF399" s="134"/>
      <c r="AG399" s="134"/>
      <c r="AH399" s="134"/>
    </row>
    <row r="400" ht="22.5" customHeight="1" spans="1:34">
      <c r="A400" s="135"/>
      <c r="B400" s="136"/>
      <c r="C400" s="137"/>
      <c r="D400" s="136"/>
      <c r="E400" s="136"/>
      <c r="F400" s="136"/>
      <c r="G400" s="136"/>
      <c r="H400" s="138"/>
      <c r="I400" s="136"/>
      <c r="J400" s="136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39"/>
      <c r="AA400" s="139"/>
      <c r="AB400" s="139"/>
      <c r="AC400" s="139"/>
      <c r="AD400" s="139"/>
      <c r="AE400" s="139"/>
      <c r="AF400" s="139"/>
      <c r="AG400" s="139"/>
      <c r="AH400" s="139"/>
    </row>
    <row r="401" ht="22.5" customHeight="1" spans="1:34">
      <c r="A401" s="130"/>
      <c r="B401" s="131"/>
      <c r="C401" s="132"/>
      <c r="D401" s="131"/>
      <c r="E401" s="131"/>
      <c r="F401" s="131"/>
      <c r="G401" s="131"/>
      <c r="H401" s="133"/>
      <c r="I401" s="131"/>
      <c r="J401" s="131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  <c r="AA401" s="134"/>
      <c r="AB401" s="134"/>
      <c r="AC401" s="134"/>
      <c r="AD401" s="134"/>
      <c r="AE401" s="134"/>
      <c r="AF401" s="134"/>
      <c r="AG401" s="134"/>
      <c r="AH401" s="134"/>
    </row>
    <row r="402" ht="22.5" customHeight="1" spans="1:34">
      <c r="A402" s="135"/>
      <c r="B402" s="136"/>
      <c r="C402" s="137"/>
      <c r="D402" s="136"/>
      <c r="E402" s="136"/>
      <c r="F402" s="136"/>
      <c r="G402" s="136"/>
      <c r="H402" s="138"/>
      <c r="I402" s="136"/>
      <c r="J402" s="136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39"/>
      <c r="AA402" s="139"/>
      <c r="AB402" s="139"/>
      <c r="AC402" s="139"/>
      <c r="AD402" s="139"/>
      <c r="AE402" s="139"/>
      <c r="AF402" s="139"/>
      <c r="AG402" s="139"/>
      <c r="AH402" s="139"/>
    </row>
    <row r="403" ht="22.5" customHeight="1" spans="1:34">
      <c r="A403" s="130"/>
      <c r="B403" s="131"/>
      <c r="C403" s="132"/>
      <c r="D403" s="131"/>
      <c r="E403" s="131"/>
      <c r="F403" s="131"/>
      <c r="G403" s="131"/>
      <c r="H403" s="133"/>
      <c r="I403" s="131"/>
      <c r="J403" s="131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  <c r="AA403" s="134"/>
      <c r="AB403" s="134"/>
      <c r="AC403" s="134"/>
      <c r="AD403" s="134"/>
      <c r="AE403" s="134"/>
      <c r="AF403" s="134"/>
      <c r="AG403" s="134"/>
      <c r="AH403" s="134"/>
    </row>
    <row r="404" ht="22.5" customHeight="1" spans="1:34">
      <c r="A404" s="135"/>
      <c r="B404" s="136"/>
      <c r="C404" s="137"/>
      <c r="D404" s="136"/>
      <c r="E404" s="136"/>
      <c r="F404" s="136"/>
      <c r="G404" s="136"/>
      <c r="H404" s="138"/>
      <c r="I404" s="136"/>
      <c r="J404" s="136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  <c r="AA404" s="139"/>
      <c r="AB404" s="139"/>
      <c r="AC404" s="139"/>
      <c r="AD404" s="139"/>
      <c r="AE404" s="139"/>
      <c r="AF404" s="139"/>
      <c r="AG404" s="139"/>
      <c r="AH404" s="139"/>
    </row>
    <row r="405" ht="22.5" customHeight="1" spans="1:34">
      <c r="A405" s="130"/>
      <c r="B405" s="131"/>
      <c r="C405" s="132"/>
      <c r="D405" s="131"/>
      <c r="E405" s="131"/>
      <c r="F405" s="131"/>
      <c r="G405" s="131"/>
      <c r="H405" s="133"/>
      <c r="I405" s="131"/>
      <c r="J405" s="131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4"/>
      <c r="AC405" s="134"/>
      <c r="AD405" s="134"/>
      <c r="AE405" s="134"/>
      <c r="AF405" s="134"/>
      <c r="AG405" s="134"/>
      <c r="AH405" s="134"/>
    </row>
    <row r="406" ht="22.5" customHeight="1" spans="1:34">
      <c r="A406" s="135"/>
      <c r="B406" s="136"/>
      <c r="C406" s="137"/>
      <c r="D406" s="136"/>
      <c r="E406" s="136"/>
      <c r="F406" s="136"/>
      <c r="G406" s="136"/>
      <c r="H406" s="138"/>
      <c r="I406" s="136"/>
      <c r="J406" s="136"/>
      <c r="K406" s="139"/>
      <c r="L406" s="139"/>
      <c r="M406" s="139"/>
      <c r="N406" s="139"/>
      <c r="O406" s="139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39"/>
      <c r="AA406" s="139"/>
      <c r="AB406" s="139"/>
      <c r="AC406" s="139"/>
      <c r="AD406" s="139"/>
      <c r="AE406" s="139"/>
      <c r="AF406" s="139"/>
      <c r="AG406" s="139"/>
      <c r="AH406" s="139"/>
    </row>
    <row r="407" ht="22.5" customHeight="1" spans="1:34">
      <c r="A407" s="130"/>
      <c r="B407" s="131"/>
      <c r="C407" s="132"/>
      <c r="D407" s="131"/>
      <c r="E407" s="131"/>
      <c r="F407" s="131"/>
      <c r="G407" s="131"/>
      <c r="H407" s="133"/>
      <c r="I407" s="131"/>
      <c r="J407" s="131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  <c r="AA407" s="134"/>
      <c r="AB407" s="134"/>
      <c r="AC407" s="134"/>
      <c r="AD407" s="134"/>
      <c r="AE407" s="134"/>
      <c r="AF407" s="134"/>
      <c r="AG407" s="134"/>
      <c r="AH407" s="134"/>
    </row>
    <row r="408" ht="22.5" customHeight="1" spans="1:34">
      <c r="A408" s="135"/>
      <c r="B408" s="136"/>
      <c r="C408" s="137"/>
      <c r="D408" s="136"/>
      <c r="E408" s="136"/>
      <c r="F408" s="136"/>
      <c r="G408" s="136"/>
      <c r="H408" s="138"/>
      <c r="I408" s="136"/>
      <c r="J408" s="136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39"/>
      <c r="AA408" s="139"/>
      <c r="AB408" s="139"/>
      <c r="AC408" s="139"/>
      <c r="AD408" s="139"/>
      <c r="AE408" s="139"/>
      <c r="AF408" s="139"/>
      <c r="AG408" s="139"/>
      <c r="AH408" s="139"/>
    </row>
    <row r="409" ht="22.5" customHeight="1" spans="1:34">
      <c r="A409" s="130"/>
      <c r="B409" s="131"/>
      <c r="C409" s="132"/>
      <c r="D409" s="131"/>
      <c r="E409" s="131"/>
      <c r="F409" s="131"/>
      <c r="G409" s="131"/>
      <c r="H409" s="133"/>
      <c r="I409" s="131"/>
      <c r="J409" s="131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4"/>
      <c r="AC409" s="134"/>
      <c r="AD409" s="134"/>
      <c r="AE409" s="134"/>
      <c r="AF409" s="134"/>
      <c r="AG409" s="134"/>
      <c r="AH409" s="134"/>
    </row>
    <row r="410" ht="22.5" customHeight="1" spans="1:34">
      <c r="A410" s="135"/>
      <c r="B410" s="136"/>
      <c r="C410" s="137"/>
      <c r="D410" s="136"/>
      <c r="E410" s="136"/>
      <c r="F410" s="136"/>
      <c r="G410" s="136"/>
      <c r="H410" s="138"/>
      <c r="I410" s="136"/>
      <c r="J410" s="136"/>
      <c r="K410" s="139"/>
      <c r="L410" s="139"/>
      <c r="M410" s="139"/>
      <c r="N410" s="139"/>
      <c r="O410" s="139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39"/>
      <c r="AA410" s="139"/>
      <c r="AB410" s="139"/>
      <c r="AC410" s="139"/>
      <c r="AD410" s="139"/>
      <c r="AE410" s="139"/>
      <c r="AF410" s="139"/>
      <c r="AG410" s="139"/>
      <c r="AH410" s="139"/>
    </row>
    <row r="411" ht="22.5" customHeight="1" spans="1:34">
      <c r="A411" s="130"/>
      <c r="B411" s="131"/>
      <c r="C411" s="132"/>
      <c r="D411" s="131"/>
      <c r="E411" s="131"/>
      <c r="F411" s="131"/>
      <c r="G411" s="131"/>
      <c r="H411" s="133"/>
      <c r="I411" s="131"/>
      <c r="J411" s="131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4"/>
      <c r="AC411" s="134"/>
      <c r="AD411" s="134"/>
      <c r="AE411" s="134"/>
      <c r="AF411" s="134"/>
      <c r="AG411" s="134"/>
      <c r="AH411" s="134"/>
    </row>
    <row r="412" ht="22.5" customHeight="1" spans="1:34">
      <c r="A412" s="135"/>
      <c r="B412" s="136"/>
      <c r="C412" s="137"/>
      <c r="D412" s="136"/>
      <c r="E412" s="136"/>
      <c r="F412" s="136"/>
      <c r="G412" s="136"/>
      <c r="H412" s="138"/>
      <c r="I412" s="136"/>
      <c r="J412" s="136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  <c r="AA412" s="139"/>
      <c r="AB412" s="139"/>
      <c r="AC412" s="139"/>
      <c r="AD412" s="139"/>
      <c r="AE412" s="139"/>
      <c r="AF412" s="139"/>
      <c r="AG412" s="139"/>
      <c r="AH412" s="139"/>
    </row>
    <row r="413" ht="22.5" customHeight="1" spans="1:34">
      <c r="A413" s="130"/>
      <c r="B413" s="131"/>
      <c r="C413" s="132"/>
      <c r="D413" s="131"/>
      <c r="E413" s="131"/>
      <c r="F413" s="131"/>
      <c r="G413" s="131"/>
      <c r="H413" s="133"/>
      <c r="I413" s="131"/>
      <c r="J413" s="131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  <c r="AA413" s="134"/>
      <c r="AB413" s="134"/>
      <c r="AC413" s="134"/>
      <c r="AD413" s="134"/>
      <c r="AE413" s="134"/>
      <c r="AF413" s="134"/>
      <c r="AG413" s="134"/>
      <c r="AH413" s="134"/>
    </row>
    <row r="414" ht="22.5" customHeight="1" spans="1:34">
      <c r="A414" s="135"/>
      <c r="B414" s="136"/>
      <c r="C414" s="137"/>
      <c r="D414" s="136"/>
      <c r="E414" s="136"/>
      <c r="F414" s="136"/>
      <c r="G414" s="136"/>
      <c r="H414" s="138"/>
      <c r="I414" s="136"/>
      <c r="J414" s="136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9"/>
      <c r="AD414" s="139"/>
      <c r="AE414" s="139"/>
      <c r="AF414" s="139"/>
      <c r="AG414" s="139"/>
      <c r="AH414" s="139"/>
    </row>
    <row r="415" ht="22.5" customHeight="1" spans="1:34">
      <c r="A415" s="130"/>
      <c r="B415" s="131"/>
      <c r="C415" s="132"/>
      <c r="D415" s="131"/>
      <c r="E415" s="131"/>
      <c r="F415" s="131"/>
      <c r="G415" s="131"/>
      <c r="H415" s="133"/>
      <c r="I415" s="131"/>
      <c r="J415" s="131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  <c r="AC415" s="134"/>
      <c r="AD415" s="134"/>
      <c r="AE415" s="134"/>
      <c r="AF415" s="134"/>
      <c r="AG415" s="134"/>
      <c r="AH415" s="134"/>
    </row>
    <row r="416" ht="22.5" customHeight="1" spans="1:34">
      <c r="A416" s="135"/>
      <c r="B416" s="136"/>
      <c r="C416" s="137"/>
      <c r="D416" s="136"/>
      <c r="E416" s="136"/>
      <c r="F416" s="136"/>
      <c r="G416" s="136"/>
      <c r="H416" s="138"/>
      <c r="I416" s="136"/>
      <c r="J416" s="136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9"/>
      <c r="AD416" s="139"/>
      <c r="AE416" s="139"/>
      <c r="AF416" s="139"/>
      <c r="AG416" s="139"/>
      <c r="AH416" s="139"/>
    </row>
    <row r="417" ht="22.5" customHeight="1" spans="1:34">
      <c r="A417" s="130"/>
      <c r="B417" s="131"/>
      <c r="C417" s="132"/>
      <c r="D417" s="131"/>
      <c r="E417" s="131"/>
      <c r="F417" s="131"/>
      <c r="G417" s="131"/>
      <c r="H417" s="133"/>
      <c r="I417" s="131"/>
      <c r="J417" s="131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  <c r="AA417" s="134"/>
      <c r="AB417" s="134"/>
      <c r="AC417" s="134"/>
      <c r="AD417" s="134"/>
      <c r="AE417" s="134"/>
      <c r="AF417" s="134"/>
      <c r="AG417" s="134"/>
      <c r="AH417" s="134"/>
    </row>
    <row r="418" ht="22.5" customHeight="1" spans="1:34">
      <c r="A418" s="135"/>
      <c r="B418" s="136"/>
      <c r="C418" s="137"/>
      <c r="D418" s="136"/>
      <c r="E418" s="136"/>
      <c r="F418" s="136"/>
      <c r="G418" s="136"/>
      <c r="H418" s="138"/>
      <c r="I418" s="136"/>
      <c r="J418" s="136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  <c r="AA418" s="139"/>
      <c r="AB418" s="139"/>
      <c r="AC418" s="139"/>
      <c r="AD418" s="139"/>
      <c r="AE418" s="139"/>
      <c r="AF418" s="139"/>
      <c r="AG418" s="139"/>
      <c r="AH418" s="139"/>
    </row>
    <row r="419" ht="22.5" customHeight="1" spans="1:34">
      <c r="A419" s="130"/>
      <c r="B419" s="131"/>
      <c r="C419" s="132"/>
      <c r="D419" s="131"/>
      <c r="E419" s="131"/>
      <c r="F419" s="131"/>
      <c r="G419" s="131"/>
      <c r="H419" s="133"/>
      <c r="I419" s="131"/>
      <c r="J419" s="131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4"/>
      <c r="AC419" s="134"/>
      <c r="AD419" s="134"/>
      <c r="AE419" s="134"/>
      <c r="AF419" s="134"/>
      <c r="AG419" s="134"/>
      <c r="AH419" s="134"/>
    </row>
    <row r="420" ht="22.5" customHeight="1" spans="1:34">
      <c r="A420" s="135"/>
      <c r="B420" s="136"/>
      <c r="C420" s="137"/>
      <c r="D420" s="136"/>
      <c r="E420" s="136"/>
      <c r="F420" s="136"/>
      <c r="G420" s="136"/>
      <c r="H420" s="138"/>
      <c r="I420" s="136"/>
      <c r="J420" s="136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  <c r="AA420" s="139"/>
      <c r="AB420" s="139"/>
      <c r="AC420" s="139"/>
      <c r="AD420" s="139"/>
      <c r="AE420" s="139"/>
      <c r="AF420" s="139"/>
      <c r="AG420" s="139"/>
      <c r="AH420" s="139"/>
    </row>
    <row r="421" ht="22.5" customHeight="1" spans="1:34">
      <c r="A421" s="130"/>
      <c r="B421" s="131"/>
      <c r="C421" s="132"/>
      <c r="D421" s="131"/>
      <c r="E421" s="131"/>
      <c r="F421" s="131"/>
      <c r="G421" s="131"/>
      <c r="H421" s="133"/>
      <c r="I421" s="131"/>
      <c r="J421" s="131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4"/>
      <c r="AC421" s="134"/>
      <c r="AD421" s="134"/>
      <c r="AE421" s="134"/>
      <c r="AF421" s="134"/>
      <c r="AG421" s="134"/>
      <c r="AH421" s="134"/>
    </row>
    <row r="422" ht="22.5" customHeight="1" spans="1:34">
      <c r="A422" s="135"/>
      <c r="B422" s="136"/>
      <c r="C422" s="137"/>
      <c r="D422" s="136"/>
      <c r="E422" s="136"/>
      <c r="F422" s="136"/>
      <c r="G422" s="136"/>
      <c r="H422" s="138"/>
      <c r="I422" s="136"/>
      <c r="J422" s="136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39"/>
      <c r="AA422" s="139"/>
      <c r="AB422" s="139"/>
      <c r="AC422" s="139"/>
      <c r="AD422" s="139"/>
      <c r="AE422" s="139"/>
      <c r="AF422" s="139"/>
      <c r="AG422" s="139"/>
      <c r="AH422" s="139"/>
    </row>
    <row r="423" ht="22.5" customHeight="1" spans="1:34">
      <c r="A423" s="130"/>
      <c r="B423" s="131"/>
      <c r="C423" s="132"/>
      <c r="D423" s="131"/>
      <c r="E423" s="131"/>
      <c r="F423" s="131"/>
      <c r="G423" s="131"/>
      <c r="H423" s="133"/>
      <c r="I423" s="131"/>
      <c r="J423" s="131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  <c r="AA423" s="134"/>
      <c r="AB423" s="134"/>
      <c r="AC423" s="134"/>
      <c r="AD423" s="134"/>
      <c r="AE423" s="134"/>
      <c r="AF423" s="134"/>
      <c r="AG423" s="134"/>
      <c r="AH423" s="134"/>
    </row>
    <row r="424" ht="22.5" customHeight="1" spans="1:34">
      <c r="A424" s="135"/>
      <c r="B424" s="136"/>
      <c r="C424" s="137"/>
      <c r="D424" s="136"/>
      <c r="E424" s="136"/>
      <c r="F424" s="136"/>
      <c r="G424" s="136"/>
      <c r="H424" s="138"/>
      <c r="I424" s="136"/>
      <c r="J424" s="136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9"/>
      <c r="AD424" s="139"/>
      <c r="AE424" s="139"/>
      <c r="AF424" s="139"/>
      <c r="AG424" s="139"/>
      <c r="AH424" s="139"/>
    </row>
    <row r="425" ht="22.5" customHeight="1" spans="1:34">
      <c r="A425" s="130"/>
      <c r="B425" s="131"/>
      <c r="C425" s="132"/>
      <c r="D425" s="131"/>
      <c r="E425" s="131"/>
      <c r="F425" s="131"/>
      <c r="G425" s="131"/>
      <c r="H425" s="133"/>
      <c r="I425" s="131"/>
      <c r="J425" s="131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  <c r="AA425" s="134"/>
      <c r="AB425" s="134"/>
      <c r="AC425" s="134"/>
      <c r="AD425" s="134"/>
      <c r="AE425" s="134"/>
      <c r="AF425" s="134"/>
      <c r="AG425" s="134"/>
      <c r="AH425" s="134"/>
    </row>
    <row r="426" ht="22.5" customHeight="1" spans="1:34">
      <c r="A426" s="135"/>
      <c r="B426" s="136"/>
      <c r="C426" s="137"/>
      <c r="D426" s="136"/>
      <c r="E426" s="136"/>
      <c r="F426" s="136"/>
      <c r="G426" s="136"/>
      <c r="H426" s="138"/>
      <c r="I426" s="136"/>
      <c r="J426" s="136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39"/>
      <c r="AA426" s="139"/>
      <c r="AB426" s="139"/>
      <c r="AC426" s="139"/>
      <c r="AD426" s="139"/>
      <c r="AE426" s="139"/>
      <c r="AF426" s="139"/>
      <c r="AG426" s="139"/>
      <c r="AH426" s="139"/>
    </row>
    <row r="427" ht="22.5" customHeight="1" spans="1:34">
      <c r="A427" s="130"/>
      <c r="B427" s="131"/>
      <c r="C427" s="132"/>
      <c r="D427" s="131"/>
      <c r="E427" s="131"/>
      <c r="F427" s="131"/>
      <c r="G427" s="131"/>
      <c r="H427" s="133"/>
      <c r="I427" s="131"/>
      <c r="J427" s="131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4"/>
      <c r="AC427" s="134"/>
      <c r="AD427" s="134"/>
      <c r="AE427" s="134"/>
      <c r="AF427" s="134"/>
      <c r="AG427" s="134"/>
      <c r="AH427" s="134"/>
    </row>
    <row r="428" ht="22.5" customHeight="1" spans="1:34">
      <c r="A428" s="135"/>
      <c r="B428" s="136"/>
      <c r="C428" s="137"/>
      <c r="D428" s="136"/>
      <c r="E428" s="136"/>
      <c r="F428" s="136"/>
      <c r="G428" s="136"/>
      <c r="H428" s="138"/>
      <c r="I428" s="136"/>
      <c r="J428" s="136"/>
      <c r="K428" s="139"/>
      <c r="L428" s="139"/>
      <c r="M428" s="139"/>
      <c r="N428" s="139"/>
      <c r="O428" s="139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39"/>
      <c r="AA428" s="139"/>
      <c r="AB428" s="139"/>
      <c r="AC428" s="139"/>
      <c r="AD428" s="139"/>
      <c r="AE428" s="139"/>
      <c r="AF428" s="139"/>
      <c r="AG428" s="139"/>
      <c r="AH428" s="139"/>
    </row>
    <row r="429" ht="22.5" customHeight="1" spans="1:34">
      <c r="A429" s="130"/>
      <c r="B429" s="131"/>
      <c r="C429" s="132"/>
      <c r="D429" s="131"/>
      <c r="E429" s="131"/>
      <c r="F429" s="131"/>
      <c r="G429" s="131"/>
      <c r="H429" s="133"/>
      <c r="I429" s="131"/>
      <c r="J429" s="131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  <c r="AA429" s="134"/>
      <c r="AB429" s="134"/>
      <c r="AC429" s="134"/>
      <c r="AD429" s="134"/>
      <c r="AE429" s="134"/>
      <c r="AF429" s="134"/>
      <c r="AG429" s="134"/>
      <c r="AH429" s="134"/>
    </row>
    <row r="430" ht="22.5" customHeight="1" spans="1:34">
      <c r="A430" s="135"/>
      <c r="B430" s="136"/>
      <c r="C430" s="137"/>
      <c r="D430" s="136"/>
      <c r="E430" s="136"/>
      <c r="F430" s="136"/>
      <c r="G430" s="136"/>
      <c r="H430" s="138"/>
      <c r="I430" s="136"/>
      <c r="J430" s="136"/>
      <c r="K430" s="139"/>
      <c r="L430" s="139"/>
      <c r="M430" s="139"/>
      <c r="N430" s="139"/>
      <c r="O430" s="139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39"/>
      <c r="AA430" s="139"/>
      <c r="AB430" s="139"/>
      <c r="AC430" s="139"/>
      <c r="AD430" s="139"/>
      <c r="AE430" s="139"/>
      <c r="AF430" s="139"/>
      <c r="AG430" s="139"/>
      <c r="AH430" s="139"/>
    </row>
    <row r="431" ht="22.5" customHeight="1" spans="1:34">
      <c r="A431" s="130"/>
      <c r="B431" s="131"/>
      <c r="C431" s="132"/>
      <c r="D431" s="131"/>
      <c r="E431" s="131"/>
      <c r="F431" s="131"/>
      <c r="G431" s="131"/>
      <c r="H431" s="133"/>
      <c r="I431" s="131"/>
      <c r="J431" s="131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  <c r="AA431" s="134"/>
      <c r="AB431" s="134"/>
      <c r="AC431" s="134"/>
      <c r="AD431" s="134"/>
      <c r="AE431" s="134"/>
      <c r="AF431" s="134"/>
      <c r="AG431" s="134"/>
      <c r="AH431" s="134"/>
    </row>
    <row r="432" ht="22.5" customHeight="1" spans="1:34">
      <c r="A432" s="135"/>
      <c r="B432" s="136"/>
      <c r="C432" s="137"/>
      <c r="D432" s="136"/>
      <c r="E432" s="136"/>
      <c r="F432" s="136"/>
      <c r="G432" s="136"/>
      <c r="H432" s="138"/>
      <c r="I432" s="136"/>
      <c r="J432" s="136"/>
      <c r="K432" s="139"/>
      <c r="L432" s="139"/>
      <c r="M432" s="139"/>
      <c r="N432" s="139"/>
      <c r="O432" s="139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39"/>
      <c r="AA432" s="139"/>
      <c r="AB432" s="139"/>
      <c r="AC432" s="139"/>
      <c r="AD432" s="139"/>
      <c r="AE432" s="139"/>
      <c r="AF432" s="139"/>
      <c r="AG432" s="139"/>
      <c r="AH432" s="139"/>
    </row>
    <row r="433" ht="22.5" customHeight="1" spans="1:34">
      <c r="A433" s="130"/>
      <c r="B433" s="131"/>
      <c r="C433" s="132"/>
      <c r="D433" s="131"/>
      <c r="E433" s="131"/>
      <c r="F433" s="131"/>
      <c r="G433" s="131"/>
      <c r="H433" s="133"/>
      <c r="I433" s="131"/>
      <c r="J433" s="131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4"/>
      <c r="AC433" s="134"/>
      <c r="AD433" s="134"/>
      <c r="AE433" s="134"/>
      <c r="AF433" s="134"/>
      <c r="AG433" s="134"/>
      <c r="AH433" s="134"/>
    </row>
    <row r="434" ht="22.5" customHeight="1" spans="1:34">
      <c r="A434" s="135"/>
      <c r="B434" s="136"/>
      <c r="C434" s="137"/>
      <c r="D434" s="136"/>
      <c r="E434" s="136"/>
      <c r="F434" s="136"/>
      <c r="G434" s="136"/>
      <c r="H434" s="138"/>
      <c r="I434" s="136"/>
      <c r="J434" s="136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  <c r="AA434" s="139"/>
      <c r="AB434" s="139"/>
      <c r="AC434" s="139"/>
      <c r="AD434" s="139"/>
      <c r="AE434" s="139"/>
      <c r="AF434" s="139"/>
      <c r="AG434" s="139"/>
      <c r="AH434" s="139"/>
    </row>
    <row r="435" ht="22.5" customHeight="1" spans="1:34">
      <c r="A435" s="130"/>
      <c r="B435" s="131"/>
      <c r="C435" s="132"/>
      <c r="D435" s="131"/>
      <c r="E435" s="131"/>
      <c r="F435" s="131"/>
      <c r="G435" s="131"/>
      <c r="H435" s="133"/>
      <c r="I435" s="131"/>
      <c r="J435" s="131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  <c r="AC435" s="134"/>
      <c r="AD435" s="134"/>
      <c r="AE435" s="134"/>
      <c r="AF435" s="134"/>
      <c r="AG435" s="134"/>
      <c r="AH435" s="134"/>
    </row>
    <row r="436" ht="22.5" customHeight="1" spans="1:34">
      <c r="A436" s="135"/>
      <c r="B436" s="136"/>
      <c r="C436" s="137"/>
      <c r="D436" s="136"/>
      <c r="E436" s="136"/>
      <c r="F436" s="136"/>
      <c r="G436" s="136"/>
      <c r="H436" s="138"/>
      <c r="I436" s="136"/>
      <c r="J436" s="136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9"/>
      <c r="AD436" s="139"/>
      <c r="AE436" s="139"/>
      <c r="AF436" s="139"/>
      <c r="AG436" s="139"/>
      <c r="AH436" s="139"/>
    </row>
    <row r="437" ht="22.5" customHeight="1" spans="1:34">
      <c r="A437" s="130"/>
      <c r="B437" s="131"/>
      <c r="C437" s="132"/>
      <c r="D437" s="131"/>
      <c r="E437" s="131"/>
      <c r="F437" s="131"/>
      <c r="G437" s="131"/>
      <c r="H437" s="133"/>
      <c r="I437" s="131"/>
      <c r="J437" s="131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4"/>
      <c r="AC437" s="134"/>
      <c r="AD437" s="134"/>
      <c r="AE437" s="134"/>
      <c r="AF437" s="134"/>
      <c r="AG437" s="134"/>
      <c r="AH437" s="134"/>
    </row>
    <row r="438" ht="22.5" customHeight="1" spans="1:34">
      <c r="A438" s="135"/>
      <c r="B438" s="136"/>
      <c r="C438" s="137"/>
      <c r="D438" s="136"/>
      <c r="E438" s="136"/>
      <c r="F438" s="136"/>
      <c r="G438" s="136"/>
      <c r="H438" s="138"/>
      <c r="I438" s="136"/>
      <c r="J438" s="136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9"/>
      <c r="AD438" s="139"/>
      <c r="AE438" s="139"/>
      <c r="AF438" s="139"/>
      <c r="AG438" s="139"/>
      <c r="AH438" s="139"/>
    </row>
    <row r="439" ht="22.5" customHeight="1" spans="1:34">
      <c r="A439" s="130"/>
      <c r="B439" s="131"/>
      <c r="C439" s="132"/>
      <c r="D439" s="131"/>
      <c r="E439" s="131"/>
      <c r="F439" s="131"/>
      <c r="G439" s="131"/>
      <c r="H439" s="133"/>
      <c r="I439" s="131"/>
      <c r="J439" s="131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  <c r="AA439" s="134"/>
      <c r="AB439" s="134"/>
      <c r="AC439" s="134"/>
      <c r="AD439" s="134"/>
      <c r="AE439" s="134"/>
      <c r="AF439" s="134"/>
      <c r="AG439" s="134"/>
      <c r="AH439" s="134"/>
    </row>
    <row r="440" ht="22.5" customHeight="1" spans="1:34">
      <c r="A440" s="135"/>
      <c r="B440" s="136"/>
      <c r="C440" s="137"/>
      <c r="D440" s="136"/>
      <c r="E440" s="136"/>
      <c r="F440" s="136"/>
      <c r="G440" s="136"/>
      <c r="H440" s="138"/>
      <c r="I440" s="136"/>
      <c r="J440" s="136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9"/>
      <c r="AD440" s="139"/>
      <c r="AE440" s="139"/>
      <c r="AF440" s="139"/>
      <c r="AG440" s="139"/>
      <c r="AH440" s="139"/>
    </row>
    <row r="441" ht="22.5" customHeight="1" spans="1:34">
      <c r="A441" s="130"/>
      <c r="B441" s="131"/>
      <c r="C441" s="132"/>
      <c r="D441" s="131"/>
      <c r="E441" s="131"/>
      <c r="F441" s="131"/>
      <c r="G441" s="131"/>
      <c r="H441" s="133"/>
      <c r="I441" s="131"/>
      <c r="J441" s="131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4"/>
      <c r="AC441" s="134"/>
      <c r="AD441" s="134"/>
      <c r="AE441" s="134"/>
      <c r="AF441" s="134"/>
      <c r="AG441" s="134"/>
      <c r="AH441" s="134"/>
    </row>
    <row r="442" ht="22.5" customHeight="1" spans="1:34">
      <c r="A442" s="135"/>
      <c r="B442" s="136"/>
      <c r="C442" s="137"/>
      <c r="D442" s="136"/>
      <c r="E442" s="136"/>
      <c r="F442" s="136"/>
      <c r="G442" s="136"/>
      <c r="H442" s="138"/>
      <c r="I442" s="136"/>
      <c r="J442" s="136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9"/>
      <c r="AD442" s="139"/>
      <c r="AE442" s="139"/>
      <c r="AF442" s="139"/>
      <c r="AG442" s="139"/>
      <c r="AH442" s="139"/>
    </row>
    <row r="443" ht="22.5" customHeight="1" spans="1:34">
      <c r="A443" s="130"/>
      <c r="B443" s="131"/>
      <c r="C443" s="132"/>
      <c r="D443" s="131"/>
      <c r="E443" s="131"/>
      <c r="F443" s="131"/>
      <c r="G443" s="131"/>
      <c r="H443" s="133"/>
      <c r="I443" s="131"/>
      <c r="J443" s="131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4"/>
      <c r="AC443" s="134"/>
      <c r="AD443" s="134"/>
      <c r="AE443" s="134"/>
      <c r="AF443" s="134"/>
      <c r="AG443" s="134"/>
      <c r="AH443" s="134"/>
    </row>
    <row r="444" ht="22.5" customHeight="1" spans="1:34">
      <c r="A444" s="135"/>
      <c r="B444" s="136"/>
      <c r="C444" s="137"/>
      <c r="D444" s="136"/>
      <c r="E444" s="136"/>
      <c r="F444" s="136"/>
      <c r="G444" s="136"/>
      <c r="H444" s="138"/>
      <c r="I444" s="136"/>
      <c r="J444" s="136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9"/>
      <c r="AD444" s="139"/>
      <c r="AE444" s="139"/>
      <c r="AF444" s="139"/>
      <c r="AG444" s="139"/>
      <c r="AH444" s="139"/>
    </row>
    <row r="445" ht="22.5" customHeight="1" spans="1:34">
      <c r="A445" s="130"/>
      <c r="B445" s="131"/>
      <c r="C445" s="132"/>
      <c r="D445" s="131"/>
      <c r="E445" s="131"/>
      <c r="F445" s="131"/>
      <c r="G445" s="131"/>
      <c r="H445" s="133"/>
      <c r="I445" s="131"/>
      <c r="J445" s="131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  <c r="AA445" s="134"/>
      <c r="AB445" s="134"/>
      <c r="AC445" s="134"/>
      <c r="AD445" s="134"/>
      <c r="AE445" s="134"/>
      <c r="AF445" s="134"/>
      <c r="AG445" s="134"/>
      <c r="AH445" s="134"/>
    </row>
    <row r="446" ht="22.5" customHeight="1" spans="1:34">
      <c r="A446" s="135"/>
      <c r="B446" s="136"/>
      <c r="C446" s="137"/>
      <c r="D446" s="136"/>
      <c r="E446" s="136"/>
      <c r="F446" s="136"/>
      <c r="G446" s="136"/>
      <c r="H446" s="138"/>
      <c r="I446" s="136"/>
      <c r="J446" s="136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39"/>
      <c r="AA446" s="139"/>
      <c r="AB446" s="139"/>
      <c r="AC446" s="139"/>
      <c r="AD446" s="139"/>
      <c r="AE446" s="139"/>
      <c r="AF446" s="139"/>
      <c r="AG446" s="139"/>
      <c r="AH446" s="139"/>
    </row>
    <row r="447" ht="22.5" customHeight="1" spans="1:34">
      <c r="A447" s="130"/>
      <c r="B447" s="131"/>
      <c r="C447" s="132"/>
      <c r="D447" s="131"/>
      <c r="E447" s="131"/>
      <c r="F447" s="131"/>
      <c r="G447" s="131"/>
      <c r="H447" s="133"/>
      <c r="I447" s="131"/>
      <c r="J447" s="131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4"/>
      <c r="AC447" s="134"/>
      <c r="AD447" s="134"/>
      <c r="AE447" s="134"/>
      <c r="AF447" s="134"/>
      <c r="AG447" s="134"/>
      <c r="AH447" s="134"/>
    </row>
    <row r="448" ht="22.5" customHeight="1" spans="1:34">
      <c r="A448" s="135"/>
      <c r="B448" s="136"/>
      <c r="C448" s="137"/>
      <c r="D448" s="136"/>
      <c r="E448" s="136"/>
      <c r="F448" s="136"/>
      <c r="G448" s="136"/>
      <c r="H448" s="138"/>
      <c r="I448" s="136"/>
      <c r="J448" s="136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39"/>
      <c r="AA448" s="139"/>
      <c r="AB448" s="139"/>
      <c r="AC448" s="139"/>
      <c r="AD448" s="139"/>
      <c r="AE448" s="139"/>
      <c r="AF448" s="139"/>
      <c r="AG448" s="139"/>
      <c r="AH448" s="139"/>
    </row>
    <row r="449" ht="22.5" customHeight="1" spans="1:34">
      <c r="A449" s="130"/>
      <c r="B449" s="131"/>
      <c r="C449" s="132"/>
      <c r="D449" s="131"/>
      <c r="E449" s="131"/>
      <c r="F449" s="131"/>
      <c r="G449" s="131"/>
      <c r="H449" s="133"/>
      <c r="I449" s="131"/>
      <c r="J449" s="131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4"/>
      <c r="AC449" s="134"/>
      <c r="AD449" s="134"/>
      <c r="AE449" s="134"/>
      <c r="AF449" s="134"/>
      <c r="AG449" s="134"/>
      <c r="AH449" s="134"/>
    </row>
    <row r="450" ht="22.5" customHeight="1" spans="1:34">
      <c r="A450" s="135"/>
      <c r="B450" s="136"/>
      <c r="C450" s="137"/>
      <c r="D450" s="136"/>
      <c r="E450" s="136"/>
      <c r="F450" s="136"/>
      <c r="G450" s="136"/>
      <c r="H450" s="138"/>
      <c r="I450" s="136"/>
      <c r="J450" s="136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  <c r="AA450" s="139"/>
      <c r="AB450" s="139"/>
      <c r="AC450" s="139"/>
      <c r="AD450" s="139"/>
      <c r="AE450" s="139"/>
      <c r="AF450" s="139"/>
      <c r="AG450" s="139"/>
      <c r="AH450" s="139"/>
    </row>
    <row r="451" ht="22.5" customHeight="1" spans="1:34">
      <c r="A451" s="130"/>
      <c r="B451" s="131"/>
      <c r="C451" s="132"/>
      <c r="D451" s="131"/>
      <c r="E451" s="131"/>
      <c r="F451" s="131"/>
      <c r="G451" s="131"/>
      <c r="H451" s="133"/>
      <c r="I451" s="131"/>
      <c r="J451" s="131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4"/>
      <c r="AC451" s="134"/>
      <c r="AD451" s="134"/>
      <c r="AE451" s="134"/>
      <c r="AF451" s="134"/>
      <c r="AG451" s="134"/>
      <c r="AH451" s="134"/>
    </row>
    <row r="452" ht="22.5" customHeight="1" spans="1:34">
      <c r="A452" s="135"/>
      <c r="B452" s="136"/>
      <c r="C452" s="137"/>
      <c r="D452" s="136"/>
      <c r="E452" s="136"/>
      <c r="F452" s="136"/>
      <c r="G452" s="136"/>
      <c r="H452" s="138"/>
      <c r="I452" s="136"/>
      <c r="J452" s="136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9"/>
      <c r="AD452" s="139"/>
      <c r="AE452" s="139"/>
      <c r="AF452" s="139"/>
      <c r="AG452" s="139"/>
      <c r="AH452" s="139"/>
    </row>
    <row r="453" ht="22.5" customHeight="1" spans="1:34">
      <c r="A453" s="130"/>
      <c r="B453" s="131"/>
      <c r="C453" s="132"/>
      <c r="D453" s="131"/>
      <c r="E453" s="131"/>
      <c r="F453" s="131"/>
      <c r="G453" s="131"/>
      <c r="H453" s="133"/>
      <c r="I453" s="131"/>
      <c r="J453" s="131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4"/>
      <c r="AC453" s="134"/>
      <c r="AD453" s="134"/>
      <c r="AE453" s="134"/>
      <c r="AF453" s="134"/>
      <c r="AG453" s="134"/>
      <c r="AH453" s="134"/>
    </row>
    <row r="454" ht="22.5" customHeight="1" spans="1:34">
      <c r="A454" s="135"/>
      <c r="B454" s="136"/>
      <c r="C454" s="137"/>
      <c r="D454" s="136"/>
      <c r="E454" s="136"/>
      <c r="F454" s="136"/>
      <c r="G454" s="136"/>
      <c r="H454" s="138"/>
      <c r="I454" s="136"/>
      <c r="J454" s="136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9"/>
      <c r="AD454" s="139"/>
      <c r="AE454" s="139"/>
      <c r="AF454" s="139"/>
      <c r="AG454" s="139"/>
      <c r="AH454" s="139"/>
    </row>
    <row r="455" ht="22.5" customHeight="1" spans="1:34">
      <c r="A455" s="130"/>
      <c r="B455" s="131"/>
      <c r="C455" s="132"/>
      <c r="D455" s="131"/>
      <c r="E455" s="131"/>
      <c r="F455" s="131"/>
      <c r="G455" s="131"/>
      <c r="H455" s="133"/>
      <c r="I455" s="131"/>
      <c r="J455" s="131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4"/>
      <c r="AC455" s="134"/>
      <c r="AD455" s="134"/>
      <c r="AE455" s="134"/>
      <c r="AF455" s="134"/>
      <c r="AG455" s="134"/>
      <c r="AH455" s="134"/>
    </row>
    <row r="456" ht="22.5" customHeight="1" spans="1:34">
      <c r="A456" s="135"/>
      <c r="B456" s="136"/>
      <c r="C456" s="137"/>
      <c r="D456" s="136"/>
      <c r="E456" s="136"/>
      <c r="F456" s="136"/>
      <c r="G456" s="136"/>
      <c r="H456" s="138"/>
      <c r="I456" s="136"/>
      <c r="J456" s="136"/>
      <c r="K456" s="139"/>
      <c r="L456" s="139"/>
      <c r="M456" s="139"/>
      <c r="N456" s="139"/>
      <c r="O456" s="139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39"/>
      <c r="AA456" s="139"/>
      <c r="AB456" s="139"/>
      <c r="AC456" s="139"/>
      <c r="AD456" s="139"/>
      <c r="AE456" s="139"/>
      <c r="AF456" s="139"/>
      <c r="AG456" s="139"/>
      <c r="AH456" s="139"/>
    </row>
    <row r="457" ht="22.5" customHeight="1" spans="1:34">
      <c r="A457" s="130"/>
      <c r="B457" s="131"/>
      <c r="C457" s="132"/>
      <c r="D457" s="131"/>
      <c r="E457" s="131"/>
      <c r="F457" s="131"/>
      <c r="G457" s="131"/>
      <c r="H457" s="133"/>
      <c r="I457" s="131"/>
      <c r="J457" s="131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4"/>
      <c r="AC457" s="134"/>
      <c r="AD457" s="134"/>
      <c r="AE457" s="134"/>
      <c r="AF457" s="134"/>
      <c r="AG457" s="134"/>
      <c r="AH457" s="134"/>
    </row>
    <row r="458" ht="22.5" customHeight="1" spans="1:34">
      <c r="A458" s="135"/>
      <c r="B458" s="136"/>
      <c r="C458" s="137"/>
      <c r="D458" s="136"/>
      <c r="E458" s="136"/>
      <c r="F458" s="136"/>
      <c r="G458" s="136"/>
      <c r="H458" s="138"/>
      <c r="I458" s="136"/>
      <c r="J458" s="136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9"/>
      <c r="AD458" s="139"/>
      <c r="AE458" s="139"/>
      <c r="AF458" s="139"/>
      <c r="AG458" s="139"/>
      <c r="AH458" s="139"/>
    </row>
    <row r="459" ht="22.5" customHeight="1" spans="1:34">
      <c r="A459" s="130"/>
      <c r="B459" s="131"/>
      <c r="C459" s="132"/>
      <c r="D459" s="131"/>
      <c r="E459" s="131"/>
      <c r="F459" s="131"/>
      <c r="G459" s="131"/>
      <c r="H459" s="133"/>
      <c r="I459" s="131"/>
      <c r="J459" s="131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4"/>
      <c r="AC459" s="134"/>
      <c r="AD459" s="134"/>
      <c r="AE459" s="134"/>
      <c r="AF459" s="134"/>
      <c r="AG459" s="134"/>
      <c r="AH459" s="134"/>
    </row>
    <row r="460" ht="22.5" customHeight="1" spans="1:34">
      <c r="A460" s="135"/>
      <c r="B460" s="136"/>
      <c r="C460" s="137"/>
      <c r="D460" s="136"/>
      <c r="E460" s="136"/>
      <c r="F460" s="136"/>
      <c r="G460" s="136"/>
      <c r="H460" s="138"/>
      <c r="I460" s="136"/>
      <c r="J460" s="136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9"/>
      <c r="AD460" s="139"/>
      <c r="AE460" s="139"/>
      <c r="AF460" s="139"/>
      <c r="AG460" s="139"/>
      <c r="AH460" s="139"/>
    </row>
    <row r="461" ht="22.5" customHeight="1" spans="1:34">
      <c r="A461" s="130"/>
      <c r="B461" s="131"/>
      <c r="C461" s="132"/>
      <c r="D461" s="131"/>
      <c r="E461" s="131"/>
      <c r="F461" s="131"/>
      <c r="G461" s="131"/>
      <c r="H461" s="133"/>
      <c r="I461" s="131"/>
      <c r="J461" s="131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4"/>
      <c r="AC461" s="134"/>
      <c r="AD461" s="134"/>
      <c r="AE461" s="134"/>
      <c r="AF461" s="134"/>
      <c r="AG461" s="134"/>
      <c r="AH461" s="134"/>
    </row>
    <row r="462" ht="22.5" customHeight="1" spans="1:34">
      <c r="A462" s="135"/>
      <c r="B462" s="136"/>
      <c r="C462" s="137"/>
      <c r="D462" s="136"/>
      <c r="E462" s="136"/>
      <c r="F462" s="136"/>
      <c r="G462" s="136"/>
      <c r="H462" s="138"/>
      <c r="I462" s="136"/>
      <c r="J462" s="136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39"/>
      <c r="AA462" s="139"/>
      <c r="AB462" s="139"/>
      <c r="AC462" s="139"/>
      <c r="AD462" s="139"/>
      <c r="AE462" s="139"/>
      <c r="AF462" s="139"/>
      <c r="AG462" s="139"/>
      <c r="AH462" s="139"/>
    </row>
    <row r="463" ht="22.5" customHeight="1" spans="1:34">
      <c r="A463" s="130"/>
      <c r="B463" s="131"/>
      <c r="C463" s="132"/>
      <c r="D463" s="131"/>
      <c r="E463" s="131"/>
      <c r="F463" s="131"/>
      <c r="G463" s="131"/>
      <c r="H463" s="133"/>
      <c r="I463" s="131"/>
      <c r="J463" s="131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4"/>
      <c r="AC463" s="134"/>
      <c r="AD463" s="134"/>
      <c r="AE463" s="134"/>
      <c r="AF463" s="134"/>
      <c r="AG463" s="134"/>
      <c r="AH463" s="134"/>
    </row>
    <row r="464" ht="22.5" customHeight="1" spans="1:34">
      <c r="A464" s="135"/>
      <c r="B464" s="136"/>
      <c r="C464" s="137"/>
      <c r="D464" s="136"/>
      <c r="E464" s="136"/>
      <c r="F464" s="136"/>
      <c r="G464" s="136"/>
      <c r="H464" s="138"/>
      <c r="I464" s="136"/>
      <c r="J464" s="136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9"/>
      <c r="AD464" s="139"/>
      <c r="AE464" s="139"/>
      <c r="AF464" s="139"/>
      <c r="AG464" s="139"/>
      <c r="AH464" s="139"/>
    </row>
    <row r="465" ht="22.5" customHeight="1" spans="1:34">
      <c r="A465" s="130"/>
      <c r="B465" s="131"/>
      <c r="C465" s="132"/>
      <c r="D465" s="131"/>
      <c r="E465" s="131"/>
      <c r="F465" s="131"/>
      <c r="G465" s="131"/>
      <c r="H465" s="133"/>
      <c r="I465" s="131"/>
      <c r="J465" s="131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  <c r="AA465" s="134"/>
      <c r="AB465" s="134"/>
      <c r="AC465" s="134"/>
      <c r="AD465" s="134"/>
      <c r="AE465" s="134"/>
      <c r="AF465" s="134"/>
      <c r="AG465" s="134"/>
      <c r="AH465" s="134"/>
    </row>
    <row r="466" ht="22.5" customHeight="1" spans="1:34">
      <c r="A466" s="135"/>
      <c r="B466" s="136"/>
      <c r="C466" s="137"/>
      <c r="D466" s="136"/>
      <c r="E466" s="136"/>
      <c r="F466" s="136"/>
      <c r="G466" s="136"/>
      <c r="H466" s="138"/>
      <c r="I466" s="136"/>
      <c r="J466" s="136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9"/>
      <c r="AD466" s="139"/>
      <c r="AE466" s="139"/>
      <c r="AF466" s="139"/>
      <c r="AG466" s="139"/>
      <c r="AH466" s="139"/>
    </row>
    <row r="467" ht="22.5" customHeight="1" spans="1:34">
      <c r="A467" s="130"/>
      <c r="B467" s="131"/>
      <c r="C467" s="132"/>
      <c r="D467" s="131"/>
      <c r="E467" s="131"/>
      <c r="F467" s="131"/>
      <c r="G467" s="131"/>
      <c r="H467" s="133"/>
      <c r="I467" s="131"/>
      <c r="J467" s="131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4"/>
      <c r="AC467" s="134"/>
      <c r="AD467" s="134"/>
      <c r="AE467" s="134"/>
      <c r="AF467" s="134"/>
      <c r="AG467" s="134"/>
      <c r="AH467" s="134"/>
    </row>
    <row r="468" ht="22.5" customHeight="1" spans="1:34">
      <c r="A468" s="135"/>
      <c r="B468" s="136"/>
      <c r="C468" s="137"/>
      <c r="D468" s="136"/>
      <c r="E468" s="136"/>
      <c r="F468" s="136"/>
      <c r="G468" s="136"/>
      <c r="H468" s="138"/>
      <c r="I468" s="136"/>
      <c r="J468" s="136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9"/>
      <c r="AD468" s="139"/>
      <c r="AE468" s="139"/>
      <c r="AF468" s="139"/>
      <c r="AG468" s="139"/>
      <c r="AH468" s="139"/>
    </row>
    <row r="469" ht="22.5" customHeight="1" spans="1:34">
      <c r="A469" s="130"/>
      <c r="B469" s="131"/>
      <c r="C469" s="132"/>
      <c r="D469" s="131"/>
      <c r="E469" s="131"/>
      <c r="F469" s="131"/>
      <c r="G469" s="131"/>
      <c r="H469" s="133"/>
      <c r="I469" s="131"/>
      <c r="J469" s="131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  <c r="AA469" s="134"/>
      <c r="AB469" s="134"/>
      <c r="AC469" s="134"/>
      <c r="AD469" s="134"/>
      <c r="AE469" s="134"/>
      <c r="AF469" s="134"/>
      <c r="AG469" s="134"/>
      <c r="AH469" s="134"/>
    </row>
    <row r="470" ht="22.5" customHeight="1" spans="1:34">
      <c r="A470" s="135"/>
      <c r="B470" s="136"/>
      <c r="C470" s="137"/>
      <c r="D470" s="136"/>
      <c r="E470" s="136"/>
      <c r="F470" s="136"/>
      <c r="G470" s="136"/>
      <c r="H470" s="138"/>
      <c r="I470" s="136"/>
      <c r="J470" s="136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9"/>
      <c r="AD470" s="139"/>
      <c r="AE470" s="139"/>
      <c r="AF470" s="139"/>
      <c r="AG470" s="139"/>
      <c r="AH470" s="139"/>
    </row>
    <row r="471" ht="22.5" customHeight="1" spans="1:34">
      <c r="A471" s="130"/>
      <c r="B471" s="131"/>
      <c r="C471" s="132"/>
      <c r="D471" s="131"/>
      <c r="E471" s="131"/>
      <c r="F471" s="131"/>
      <c r="G471" s="131"/>
      <c r="H471" s="133"/>
      <c r="I471" s="131"/>
      <c r="J471" s="131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4"/>
      <c r="AC471" s="134"/>
      <c r="AD471" s="134"/>
      <c r="AE471" s="134"/>
      <c r="AF471" s="134"/>
      <c r="AG471" s="134"/>
      <c r="AH471" s="134"/>
    </row>
    <row r="472" ht="22.5" customHeight="1" spans="1:34">
      <c r="A472" s="135"/>
      <c r="B472" s="136"/>
      <c r="C472" s="137"/>
      <c r="D472" s="136"/>
      <c r="E472" s="136"/>
      <c r="F472" s="136"/>
      <c r="G472" s="136"/>
      <c r="H472" s="138"/>
      <c r="I472" s="136"/>
      <c r="J472" s="136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9"/>
      <c r="AD472" s="139"/>
      <c r="AE472" s="139"/>
      <c r="AF472" s="139"/>
      <c r="AG472" s="139"/>
      <c r="AH472" s="139"/>
    </row>
    <row r="473" ht="22.5" customHeight="1" spans="1:34">
      <c r="A473" s="130"/>
      <c r="B473" s="131"/>
      <c r="C473" s="132"/>
      <c r="D473" s="131"/>
      <c r="E473" s="131"/>
      <c r="F473" s="131"/>
      <c r="G473" s="131"/>
      <c r="H473" s="133"/>
      <c r="I473" s="131"/>
      <c r="J473" s="131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  <c r="AA473" s="134"/>
      <c r="AB473" s="134"/>
      <c r="AC473" s="134"/>
      <c r="AD473" s="134"/>
      <c r="AE473" s="134"/>
      <c r="AF473" s="134"/>
      <c r="AG473" s="134"/>
      <c r="AH473" s="134"/>
    </row>
    <row r="474" ht="22.5" customHeight="1" spans="1:34">
      <c r="A474" s="135"/>
      <c r="B474" s="136"/>
      <c r="C474" s="137"/>
      <c r="D474" s="136"/>
      <c r="E474" s="136"/>
      <c r="F474" s="136"/>
      <c r="G474" s="136"/>
      <c r="H474" s="138"/>
      <c r="I474" s="136"/>
      <c r="J474" s="136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9"/>
      <c r="AD474" s="139"/>
      <c r="AE474" s="139"/>
      <c r="AF474" s="139"/>
      <c r="AG474" s="139"/>
      <c r="AH474" s="139"/>
    </row>
    <row r="475" ht="22.5" customHeight="1" spans="1:34">
      <c r="A475" s="130"/>
      <c r="B475" s="131"/>
      <c r="C475" s="132"/>
      <c r="D475" s="131"/>
      <c r="E475" s="131"/>
      <c r="F475" s="131"/>
      <c r="G475" s="131"/>
      <c r="H475" s="133"/>
      <c r="I475" s="131"/>
      <c r="J475" s="131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  <c r="AA475" s="134"/>
      <c r="AB475" s="134"/>
      <c r="AC475" s="134"/>
      <c r="AD475" s="134"/>
      <c r="AE475" s="134"/>
      <c r="AF475" s="134"/>
      <c r="AG475" s="134"/>
      <c r="AH475" s="134"/>
    </row>
    <row r="476" ht="22.5" customHeight="1" spans="1:34">
      <c r="A476" s="135"/>
      <c r="B476" s="136"/>
      <c r="C476" s="137"/>
      <c r="D476" s="136"/>
      <c r="E476" s="136"/>
      <c r="F476" s="136"/>
      <c r="G476" s="136"/>
      <c r="H476" s="138"/>
      <c r="I476" s="136"/>
      <c r="J476" s="136"/>
      <c r="K476" s="139"/>
      <c r="L476" s="139"/>
      <c r="M476" s="139"/>
      <c r="N476" s="139"/>
      <c r="O476" s="139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39"/>
      <c r="AA476" s="139"/>
      <c r="AB476" s="139"/>
      <c r="AC476" s="139"/>
      <c r="AD476" s="139"/>
      <c r="AE476" s="139"/>
      <c r="AF476" s="139"/>
      <c r="AG476" s="139"/>
      <c r="AH476" s="139"/>
    </row>
    <row r="477" ht="22.5" customHeight="1" spans="1:34">
      <c r="A477" s="130"/>
      <c r="B477" s="131"/>
      <c r="C477" s="132"/>
      <c r="D477" s="131"/>
      <c r="E477" s="131"/>
      <c r="F477" s="131"/>
      <c r="G477" s="131"/>
      <c r="H477" s="133"/>
      <c r="I477" s="131"/>
      <c r="J477" s="131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  <c r="AA477" s="134"/>
      <c r="AB477" s="134"/>
      <c r="AC477" s="134"/>
      <c r="AD477" s="134"/>
      <c r="AE477" s="134"/>
      <c r="AF477" s="134"/>
      <c r="AG477" s="134"/>
      <c r="AH477" s="134"/>
    </row>
    <row r="478" ht="22.5" customHeight="1" spans="1:34">
      <c r="A478" s="135"/>
      <c r="B478" s="136"/>
      <c r="C478" s="137"/>
      <c r="D478" s="136"/>
      <c r="E478" s="136"/>
      <c r="F478" s="136"/>
      <c r="G478" s="136"/>
      <c r="H478" s="138"/>
      <c r="I478" s="136"/>
      <c r="J478" s="136"/>
      <c r="K478" s="139"/>
      <c r="L478" s="139"/>
      <c r="M478" s="139"/>
      <c r="N478" s="139"/>
      <c r="O478" s="139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39"/>
      <c r="AA478" s="139"/>
      <c r="AB478" s="139"/>
      <c r="AC478" s="139"/>
      <c r="AD478" s="139"/>
      <c r="AE478" s="139"/>
      <c r="AF478" s="139"/>
      <c r="AG478" s="139"/>
      <c r="AH478" s="139"/>
    </row>
    <row r="479" ht="22.5" customHeight="1" spans="1:34">
      <c r="A479" s="130"/>
      <c r="B479" s="131"/>
      <c r="C479" s="132"/>
      <c r="D479" s="131"/>
      <c r="E479" s="131"/>
      <c r="F479" s="131"/>
      <c r="G479" s="131"/>
      <c r="H479" s="133"/>
      <c r="I479" s="131"/>
      <c r="J479" s="131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  <c r="AA479" s="134"/>
      <c r="AB479" s="134"/>
      <c r="AC479" s="134"/>
      <c r="AD479" s="134"/>
      <c r="AE479" s="134"/>
      <c r="AF479" s="134"/>
      <c r="AG479" s="134"/>
      <c r="AH479" s="134"/>
    </row>
    <row r="480" ht="22.5" customHeight="1" spans="1:34">
      <c r="A480" s="135"/>
      <c r="B480" s="136"/>
      <c r="C480" s="137"/>
      <c r="D480" s="136"/>
      <c r="E480" s="136"/>
      <c r="F480" s="136"/>
      <c r="G480" s="136"/>
      <c r="H480" s="138"/>
      <c r="I480" s="136"/>
      <c r="J480" s="136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39"/>
      <c r="AA480" s="139"/>
      <c r="AB480" s="139"/>
      <c r="AC480" s="139"/>
      <c r="AD480" s="139"/>
      <c r="AE480" s="139"/>
      <c r="AF480" s="139"/>
      <c r="AG480" s="139"/>
      <c r="AH480" s="139"/>
    </row>
    <row r="481" ht="22.5" customHeight="1" spans="1:34">
      <c r="A481" s="130"/>
      <c r="B481" s="131"/>
      <c r="C481" s="132"/>
      <c r="D481" s="131"/>
      <c r="E481" s="131"/>
      <c r="F481" s="131"/>
      <c r="G481" s="131"/>
      <c r="H481" s="133"/>
      <c r="I481" s="131"/>
      <c r="J481" s="131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  <c r="AA481" s="134"/>
      <c r="AB481" s="134"/>
      <c r="AC481" s="134"/>
      <c r="AD481" s="134"/>
      <c r="AE481" s="134"/>
      <c r="AF481" s="134"/>
      <c r="AG481" s="134"/>
      <c r="AH481" s="134"/>
    </row>
    <row r="482" ht="22.5" customHeight="1" spans="1:34">
      <c r="A482" s="135"/>
      <c r="B482" s="136"/>
      <c r="C482" s="137"/>
      <c r="D482" s="136"/>
      <c r="E482" s="136"/>
      <c r="F482" s="136"/>
      <c r="G482" s="136"/>
      <c r="H482" s="138"/>
      <c r="I482" s="136"/>
      <c r="J482" s="136"/>
      <c r="K482" s="139"/>
      <c r="L482" s="139"/>
      <c r="M482" s="139"/>
      <c r="N482" s="139"/>
      <c r="O482" s="139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39"/>
      <c r="AA482" s="139"/>
      <c r="AB482" s="139"/>
      <c r="AC482" s="139"/>
      <c r="AD482" s="139"/>
      <c r="AE482" s="139"/>
      <c r="AF482" s="139"/>
      <c r="AG482" s="139"/>
      <c r="AH482" s="139"/>
    </row>
    <row r="483" ht="22.5" customHeight="1" spans="1:34">
      <c r="A483" s="130"/>
      <c r="B483" s="131"/>
      <c r="C483" s="132"/>
      <c r="D483" s="131"/>
      <c r="E483" s="131"/>
      <c r="F483" s="131"/>
      <c r="G483" s="131"/>
      <c r="H483" s="133"/>
      <c r="I483" s="131"/>
      <c r="J483" s="131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  <c r="AA483" s="134"/>
      <c r="AB483" s="134"/>
      <c r="AC483" s="134"/>
      <c r="AD483" s="134"/>
      <c r="AE483" s="134"/>
      <c r="AF483" s="134"/>
      <c r="AG483" s="134"/>
      <c r="AH483" s="134"/>
    </row>
    <row r="484" ht="22.5" customHeight="1" spans="1:34">
      <c r="A484" s="135"/>
      <c r="B484" s="136"/>
      <c r="C484" s="137"/>
      <c r="D484" s="136"/>
      <c r="E484" s="136"/>
      <c r="F484" s="136"/>
      <c r="G484" s="136"/>
      <c r="H484" s="138"/>
      <c r="I484" s="136"/>
      <c r="J484" s="136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39"/>
      <c r="AA484" s="139"/>
      <c r="AB484" s="139"/>
      <c r="AC484" s="139"/>
      <c r="AD484" s="139"/>
      <c r="AE484" s="139"/>
      <c r="AF484" s="139"/>
      <c r="AG484" s="139"/>
      <c r="AH484" s="139"/>
    </row>
    <row r="485" ht="22.5" customHeight="1" spans="1:34">
      <c r="A485" s="130"/>
      <c r="B485" s="131"/>
      <c r="C485" s="132"/>
      <c r="D485" s="131"/>
      <c r="E485" s="131"/>
      <c r="F485" s="131"/>
      <c r="G485" s="131"/>
      <c r="H485" s="133"/>
      <c r="I485" s="131"/>
      <c r="J485" s="131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  <c r="AA485" s="134"/>
      <c r="AB485" s="134"/>
      <c r="AC485" s="134"/>
      <c r="AD485" s="134"/>
      <c r="AE485" s="134"/>
      <c r="AF485" s="134"/>
      <c r="AG485" s="134"/>
      <c r="AH485" s="134"/>
    </row>
    <row r="486" ht="22.5" customHeight="1" spans="1:34">
      <c r="A486" s="135"/>
      <c r="B486" s="136"/>
      <c r="C486" s="137"/>
      <c r="D486" s="136"/>
      <c r="E486" s="136"/>
      <c r="F486" s="136"/>
      <c r="G486" s="136"/>
      <c r="H486" s="138"/>
      <c r="I486" s="136"/>
      <c r="J486" s="136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39"/>
      <c r="AA486" s="139"/>
      <c r="AB486" s="139"/>
      <c r="AC486" s="139"/>
      <c r="AD486" s="139"/>
      <c r="AE486" s="139"/>
      <c r="AF486" s="139"/>
      <c r="AG486" s="139"/>
      <c r="AH486" s="139"/>
    </row>
    <row r="487" ht="22.5" customHeight="1" spans="1:34">
      <c r="A487" s="130"/>
      <c r="B487" s="131"/>
      <c r="C487" s="132"/>
      <c r="D487" s="131"/>
      <c r="E487" s="131"/>
      <c r="F487" s="131"/>
      <c r="G487" s="131"/>
      <c r="H487" s="133"/>
      <c r="I487" s="131"/>
      <c r="J487" s="131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  <c r="AA487" s="134"/>
      <c r="AB487" s="134"/>
      <c r="AC487" s="134"/>
      <c r="AD487" s="134"/>
      <c r="AE487" s="134"/>
      <c r="AF487" s="134"/>
      <c r="AG487" s="134"/>
      <c r="AH487" s="134"/>
    </row>
    <row r="488" ht="22.5" customHeight="1" spans="1:34">
      <c r="A488" s="135"/>
      <c r="B488" s="136"/>
      <c r="C488" s="137"/>
      <c r="D488" s="136"/>
      <c r="E488" s="136"/>
      <c r="F488" s="136"/>
      <c r="G488" s="136"/>
      <c r="H488" s="138"/>
      <c r="I488" s="136"/>
      <c r="J488" s="136"/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39"/>
      <c r="AA488" s="139"/>
      <c r="AB488" s="139"/>
      <c r="AC488" s="139"/>
      <c r="AD488" s="139"/>
      <c r="AE488" s="139"/>
      <c r="AF488" s="139"/>
      <c r="AG488" s="139"/>
      <c r="AH488" s="139"/>
    </row>
    <row r="489" ht="22.5" customHeight="1" spans="1:34">
      <c r="A489" s="130"/>
      <c r="B489" s="131"/>
      <c r="C489" s="132"/>
      <c r="D489" s="131"/>
      <c r="E489" s="131"/>
      <c r="F489" s="131"/>
      <c r="G489" s="131"/>
      <c r="H489" s="133"/>
      <c r="I489" s="131"/>
      <c r="J489" s="131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  <c r="AA489" s="134"/>
      <c r="AB489" s="134"/>
      <c r="AC489" s="134"/>
      <c r="AD489" s="134"/>
      <c r="AE489" s="134"/>
      <c r="AF489" s="134"/>
      <c r="AG489" s="134"/>
      <c r="AH489" s="134"/>
    </row>
    <row r="490" ht="22.5" customHeight="1" spans="1:34">
      <c r="A490" s="135"/>
      <c r="B490" s="136"/>
      <c r="C490" s="137"/>
      <c r="D490" s="136"/>
      <c r="E490" s="136"/>
      <c r="F490" s="136"/>
      <c r="G490" s="136"/>
      <c r="H490" s="138"/>
      <c r="I490" s="136"/>
      <c r="J490" s="136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39"/>
      <c r="AA490" s="139"/>
      <c r="AB490" s="139"/>
      <c r="AC490" s="139"/>
      <c r="AD490" s="139"/>
      <c r="AE490" s="139"/>
      <c r="AF490" s="139"/>
      <c r="AG490" s="139"/>
      <c r="AH490" s="139"/>
    </row>
    <row r="491" ht="22.5" customHeight="1" spans="1:34">
      <c r="A491" s="130"/>
      <c r="B491" s="131"/>
      <c r="C491" s="132"/>
      <c r="D491" s="131"/>
      <c r="E491" s="131"/>
      <c r="F491" s="131"/>
      <c r="G491" s="131"/>
      <c r="H491" s="133"/>
      <c r="I491" s="131"/>
      <c r="J491" s="131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  <c r="AA491" s="134"/>
      <c r="AB491" s="134"/>
      <c r="AC491" s="134"/>
      <c r="AD491" s="134"/>
      <c r="AE491" s="134"/>
      <c r="AF491" s="134"/>
      <c r="AG491" s="134"/>
      <c r="AH491" s="134"/>
    </row>
    <row r="492" ht="22.5" customHeight="1" spans="1:34">
      <c r="A492" s="135"/>
      <c r="B492" s="136"/>
      <c r="C492" s="137"/>
      <c r="D492" s="136"/>
      <c r="E492" s="136"/>
      <c r="F492" s="136"/>
      <c r="G492" s="136"/>
      <c r="H492" s="138"/>
      <c r="I492" s="136"/>
      <c r="J492" s="136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39"/>
      <c r="AA492" s="139"/>
      <c r="AB492" s="139"/>
      <c r="AC492" s="139"/>
      <c r="AD492" s="139"/>
      <c r="AE492" s="139"/>
      <c r="AF492" s="139"/>
      <c r="AG492" s="139"/>
      <c r="AH492" s="139"/>
    </row>
    <row r="493" ht="22.5" customHeight="1" spans="1:34">
      <c r="A493" s="130"/>
      <c r="B493" s="131"/>
      <c r="C493" s="132"/>
      <c r="D493" s="131"/>
      <c r="E493" s="131"/>
      <c r="F493" s="131"/>
      <c r="G493" s="131"/>
      <c r="H493" s="133"/>
      <c r="I493" s="131"/>
      <c r="J493" s="131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  <c r="AA493" s="134"/>
      <c r="AB493" s="134"/>
      <c r="AC493" s="134"/>
      <c r="AD493" s="134"/>
      <c r="AE493" s="134"/>
      <c r="AF493" s="134"/>
      <c r="AG493" s="134"/>
      <c r="AH493" s="134"/>
    </row>
    <row r="494" ht="22.5" customHeight="1" spans="1:34">
      <c r="A494" s="135"/>
      <c r="B494" s="136"/>
      <c r="C494" s="137"/>
      <c r="D494" s="136"/>
      <c r="E494" s="136"/>
      <c r="F494" s="136"/>
      <c r="G494" s="136"/>
      <c r="H494" s="138"/>
      <c r="I494" s="136"/>
      <c r="J494" s="136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39"/>
      <c r="AA494" s="139"/>
      <c r="AB494" s="139"/>
      <c r="AC494" s="139"/>
      <c r="AD494" s="139"/>
      <c r="AE494" s="139"/>
      <c r="AF494" s="139"/>
      <c r="AG494" s="139"/>
      <c r="AH494" s="139"/>
    </row>
    <row r="495" ht="22.5" customHeight="1" spans="1:34">
      <c r="A495" s="130"/>
      <c r="B495" s="131"/>
      <c r="C495" s="132"/>
      <c r="D495" s="131"/>
      <c r="E495" s="131"/>
      <c r="F495" s="131"/>
      <c r="G495" s="131"/>
      <c r="H495" s="133"/>
      <c r="I495" s="131"/>
      <c r="J495" s="131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  <c r="AA495" s="134"/>
      <c r="AB495" s="134"/>
      <c r="AC495" s="134"/>
      <c r="AD495" s="134"/>
      <c r="AE495" s="134"/>
      <c r="AF495" s="134"/>
      <c r="AG495" s="134"/>
      <c r="AH495" s="134"/>
    </row>
    <row r="496" ht="22.5" customHeight="1" spans="1:34">
      <c r="A496" s="135"/>
      <c r="B496" s="136"/>
      <c r="C496" s="137"/>
      <c r="D496" s="136"/>
      <c r="E496" s="136"/>
      <c r="F496" s="136"/>
      <c r="G496" s="136"/>
      <c r="H496" s="138"/>
      <c r="I496" s="136"/>
      <c r="J496" s="136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39"/>
      <c r="AA496" s="139"/>
      <c r="AB496" s="139"/>
      <c r="AC496" s="139"/>
      <c r="AD496" s="139"/>
      <c r="AE496" s="139"/>
      <c r="AF496" s="139"/>
      <c r="AG496" s="139"/>
      <c r="AH496" s="139"/>
    </row>
    <row r="497" ht="22.5" customHeight="1" spans="1:34">
      <c r="A497" s="130"/>
      <c r="B497" s="131"/>
      <c r="C497" s="132"/>
      <c r="D497" s="131"/>
      <c r="E497" s="131"/>
      <c r="F497" s="131"/>
      <c r="G497" s="131"/>
      <c r="H497" s="133"/>
      <c r="I497" s="131"/>
      <c r="J497" s="131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4"/>
      <c r="AC497" s="134"/>
      <c r="AD497" s="134"/>
      <c r="AE497" s="134"/>
      <c r="AF497" s="134"/>
      <c r="AG497" s="134"/>
      <c r="AH497" s="134"/>
    </row>
    <row r="498" ht="22.5" customHeight="1" spans="1:34">
      <c r="A498" s="135"/>
      <c r="B498" s="136"/>
      <c r="C498" s="137"/>
      <c r="D498" s="136"/>
      <c r="E498" s="136"/>
      <c r="F498" s="136"/>
      <c r="G498" s="136"/>
      <c r="H498" s="138"/>
      <c r="I498" s="136"/>
      <c r="J498" s="136"/>
      <c r="K498" s="139"/>
      <c r="L498" s="139"/>
      <c r="M498" s="139"/>
      <c r="N498" s="139"/>
      <c r="O498" s="139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39"/>
      <c r="AA498" s="139"/>
      <c r="AB498" s="139"/>
      <c r="AC498" s="139"/>
      <c r="AD498" s="139"/>
      <c r="AE498" s="139"/>
      <c r="AF498" s="139"/>
      <c r="AG498" s="139"/>
      <c r="AH498" s="139"/>
    </row>
    <row r="499" ht="22.5" customHeight="1" spans="1:34">
      <c r="A499" s="130"/>
      <c r="B499" s="131"/>
      <c r="C499" s="132"/>
      <c r="D499" s="131"/>
      <c r="E499" s="131"/>
      <c r="F499" s="131"/>
      <c r="G499" s="131"/>
      <c r="H499" s="133"/>
      <c r="I499" s="131"/>
      <c r="J499" s="131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  <c r="AA499" s="134"/>
      <c r="AB499" s="134"/>
      <c r="AC499" s="134"/>
      <c r="AD499" s="134"/>
      <c r="AE499" s="134"/>
      <c r="AF499" s="134"/>
      <c r="AG499" s="134"/>
      <c r="AH499" s="134"/>
    </row>
    <row r="500" ht="22.5" customHeight="1" spans="1:34">
      <c r="A500" s="135"/>
      <c r="B500" s="136"/>
      <c r="C500" s="137"/>
      <c r="D500" s="136"/>
      <c r="E500" s="136"/>
      <c r="F500" s="136"/>
      <c r="G500" s="136"/>
      <c r="H500" s="138"/>
      <c r="I500" s="136"/>
      <c r="J500" s="136"/>
      <c r="K500" s="139"/>
      <c r="L500" s="139"/>
      <c r="M500" s="139"/>
      <c r="N500" s="139"/>
      <c r="O500" s="139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39"/>
      <c r="AA500" s="139"/>
      <c r="AB500" s="139"/>
      <c r="AC500" s="139"/>
      <c r="AD500" s="139"/>
      <c r="AE500" s="139"/>
      <c r="AF500" s="139"/>
      <c r="AG500" s="139"/>
      <c r="AH500" s="139"/>
    </row>
    <row r="501" ht="22.5" customHeight="1" spans="1:34">
      <c r="A501" s="130"/>
      <c r="B501" s="131"/>
      <c r="C501" s="132"/>
      <c r="D501" s="131"/>
      <c r="E501" s="131"/>
      <c r="F501" s="131"/>
      <c r="G501" s="131"/>
      <c r="H501" s="133"/>
      <c r="I501" s="131"/>
      <c r="J501" s="131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  <c r="AA501" s="134"/>
      <c r="AB501" s="134"/>
      <c r="AC501" s="134"/>
      <c r="AD501" s="134"/>
      <c r="AE501" s="134"/>
      <c r="AF501" s="134"/>
      <c r="AG501" s="134"/>
      <c r="AH501" s="134"/>
    </row>
    <row r="502" ht="22.5" customHeight="1" spans="1:34">
      <c r="A502" s="135"/>
      <c r="B502" s="136"/>
      <c r="C502" s="137"/>
      <c r="D502" s="136"/>
      <c r="E502" s="136"/>
      <c r="F502" s="136"/>
      <c r="G502" s="136"/>
      <c r="H502" s="138"/>
      <c r="I502" s="136"/>
      <c r="J502" s="136"/>
      <c r="K502" s="139"/>
      <c r="L502" s="139"/>
      <c r="M502" s="139"/>
      <c r="N502" s="139"/>
      <c r="O502" s="139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39"/>
      <c r="AA502" s="139"/>
      <c r="AB502" s="139"/>
      <c r="AC502" s="139"/>
      <c r="AD502" s="139"/>
      <c r="AE502" s="139"/>
      <c r="AF502" s="139"/>
      <c r="AG502" s="139"/>
      <c r="AH502" s="139"/>
    </row>
    <row r="503" ht="22.5" customHeight="1" spans="1:34">
      <c r="A503" s="130"/>
      <c r="B503" s="131"/>
      <c r="C503" s="132"/>
      <c r="D503" s="131"/>
      <c r="E503" s="131"/>
      <c r="F503" s="131"/>
      <c r="G503" s="131"/>
      <c r="H503" s="133"/>
      <c r="I503" s="131"/>
      <c r="J503" s="131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  <c r="AA503" s="134"/>
      <c r="AB503" s="134"/>
      <c r="AC503" s="134"/>
      <c r="AD503" s="134"/>
      <c r="AE503" s="134"/>
      <c r="AF503" s="134"/>
      <c r="AG503" s="134"/>
      <c r="AH503" s="134"/>
    </row>
    <row r="504" ht="22.5" customHeight="1" spans="1:34">
      <c r="A504" s="135"/>
      <c r="B504" s="136"/>
      <c r="C504" s="137"/>
      <c r="D504" s="136"/>
      <c r="E504" s="136"/>
      <c r="F504" s="136"/>
      <c r="G504" s="136"/>
      <c r="H504" s="138"/>
      <c r="I504" s="136"/>
      <c r="J504" s="136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39"/>
      <c r="AA504" s="139"/>
      <c r="AB504" s="139"/>
      <c r="AC504" s="139"/>
      <c r="AD504" s="139"/>
      <c r="AE504" s="139"/>
      <c r="AF504" s="139"/>
      <c r="AG504" s="139"/>
      <c r="AH504" s="139"/>
    </row>
    <row r="505" ht="22.5" customHeight="1" spans="1:34">
      <c r="A505" s="130"/>
      <c r="B505" s="131"/>
      <c r="C505" s="132"/>
      <c r="D505" s="131"/>
      <c r="E505" s="131"/>
      <c r="F505" s="131"/>
      <c r="G505" s="131"/>
      <c r="H505" s="133"/>
      <c r="I505" s="131"/>
      <c r="J505" s="131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  <c r="AA505" s="134"/>
      <c r="AB505" s="134"/>
      <c r="AC505" s="134"/>
      <c r="AD505" s="134"/>
      <c r="AE505" s="134"/>
      <c r="AF505" s="134"/>
      <c r="AG505" s="134"/>
      <c r="AH505" s="134"/>
    </row>
    <row r="506" ht="22.5" customHeight="1" spans="1:34">
      <c r="A506" s="135"/>
      <c r="B506" s="136"/>
      <c r="C506" s="137"/>
      <c r="D506" s="136"/>
      <c r="E506" s="136"/>
      <c r="F506" s="136"/>
      <c r="G506" s="136"/>
      <c r="H506" s="138"/>
      <c r="I506" s="136"/>
      <c r="J506" s="136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39"/>
      <c r="AA506" s="139"/>
      <c r="AB506" s="139"/>
      <c r="AC506" s="139"/>
      <c r="AD506" s="139"/>
      <c r="AE506" s="139"/>
      <c r="AF506" s="139"/>
      <c r="AG506" s="139"/>
      <c r="AH506" s="139"/>
    </row>
    <row r="507" ht="22.5" customHeight="1" spans="1:34">
      <c r="A507" s="130"/>
      <c r="B507" s="131"/>
      <c r="C507" s="132"/>
      <c r="D507" s="131"/>
      <c r="E507" s="131"/>
      <c r="F507" s="131"/>
      <c r="G507" s="131"/>
      <c r="H507" s="133"/>
      <c r="I507" s="131"/>
      <c r="J507" s="131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  <c r="AA507" s="134"/>
      <c r="AB507" s="134"/>
      <c r="AC507" s="134"/>
      <c r="AD507" s="134"/>
      <c r="AE507" s="134"/>
      <c r="AF507" s="134"/>
      <c r="AG507" s="134"/>
      <c r="AH507" s="134"/>
    </row>
    <row r="508" ht="22.5" customHeight="1" spans="1:34">
      <c r="A508" s="135"/>
      <c r="B508" s="136"/>
      <c r="C508" s="137"/>
      <c r="D508" s="136"/>
      <c r="E508" s="136"/>
      <c r="F508" s="136"/>
      <c r="G508" s="136"/>
      <c r="H508" s="138"/>
      <c r="I508" s="136"/>
      <c r="J508" s="136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39"/>
      <c r="AA508" s="139"/>
      <c r="AB508" s="139"/>
      <c r="AC508" s="139"/>
      <c r="AD508" s="139"/>
      <c r="AE508" s="139"/>
      <c r="AF508" s="139"/>
      <c r="AG508" s="139"/>
      <c r="AH508" s="139"/>
    </row>
    <row r="509" ht="22.5" customHeight="1" spans="1:34">
      <c r="A509" s="130"/>
      <c r="B509" s="131"/>
      <c r="C509" s="132"/>
      <c r="D509" s="131"/>
      <c r="E509" s="131"/>
      <c r="F509" s="131"/>
      <c r="G509" s="131"/>
      <c r="H509" s="133"/>
      <c r="I509" s="131"/>
      <c r="J509" s="131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  <c r="AA509" s="134"/>
      <c r="AB509" s="134"/>
      <c r="AC509" s="134"/>
      <c r="AD509" s="134"/>
      <c r="AE509" s="134"/>
      <c r="AF509" s="134"/>
      <c r="AG509" s="134"/>
      <c r="AH509" s="134"/>
    </row>
    <row r="510" ht="22.5" customHeight="1" spans="1:34">
      <c r="A510" s="135"/>
      <c r="B510" s="136"/>
      <c r="C510" s="137"/>
      <c r="D510" s="136"/>
      <c r="E510" s="136"/>
      <c r="F510" s="136"/>
      <c r="G510" s="136"/>
      <c r="H510" s="138"/>
      <c r="I510" s="136"/>
      <c r="J510" s="136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39"/>
      <c r="AA510" s="139"/>
      <c r="AB510" s="139"/>
      <c r="AC510" s="139"/>
      <c r="AD510" s="139"/>
      <c r="AE510" s="139"/>
      <c r="AF510" s="139"/>
      <c r="AG510" s="139"/>
      <c r="AH510" s="139"/>
    </row>
    <row r="511" ht="22.5" customHeight="1" spans="1:34">
      <c r="A511" s="130"/>
      <c r="B511" s="131"/>
      <c r="C511" s="132"/>
      <c r="D511" s="131"/>
      <c r="E511" s="131"/>
      <c r="F511" s="131"/>
      <c r="G511" s="131"/>
      <c r="H511" s="133"/>
      <c r="I511" s="131"/>
      <c r="J511" s="131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4"/>
      <c r="AC511" s="134"/>
      <c r="AD511" s="134"/>
      <c r="AE511" s="134"/>
      <c r="AF511" s="134"/>
      <c r="AG511" s="134"/>
      <c r="AH511" s="134"/>
    </row>
    <row r="512" ht="22.5" customHeight="1" spans="1:34">
      <c r="A512" s="135"/>
      <c r="B512" s="136"/>
      <c r="C512" s="137"/>
      <c r="D512" s="136"/>
      <c r="E512" s="136"/>
      <c r="F512" s="136"/>
      <c r="G512" s="136"/>
      <c r="H512" s="138"/>
      <c r="I512" s="136"/>
      <c r="J512" s="136"/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39"/>
      <c r="AA512" s="139"/>
      <c r="AB512" s="139"/>
      <c r="AC512" s="139"/>
      <c r="AD512" s="139"/>
      <c r="AE512" s="139"/>
      <c r="AF512" s="139"/>
      <c r="AG512" s="139"/>
      <c r="AH512" s="139"/>
    </row>
    <row r="513" ht="22.5" customHeight="1" spans="1:34">
      <c r="A513" s="130"/>
      <c r="B513" s="131"/>
      <c r="C513" s="132"/>
      <c r="D513" s="131"/>
      <c r="E513" s="131"/>
      <c r="F513" s="131"/>
      <c r="G513" s="131"/>
      <c r="H513" s="133"/>
      <c r="I513" s="131"/>
      <c r="J513" s="131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  <c r="AA513" s="134"/>
      <c r="AB513" s="134"/>
      <c r="AC513" s="134"/>
      <c r="AD513" s="134"/>
      <c r="AE513" s="134"/>
      <c r="AF513" s="134"/>
      <c r="AG513" s="134"/>
      <c r="AH513" s="134"/>
    </row>
    <row r="514" ht="22.5" customHeight="1" spans="1:34">
      <c r="A514" s="135"/>
      <c r="B514" s="136"/>
      <c r="C514" s="137"/>
      <c r="D514" s="136"/>
      <c r="E514" s="136"/>
      <c r="F514" s="136"/>
      <c r="G514" s="136"/>
      <c r="H514" s="138"/>
      <c r="I514" s="136"/>
      <c r="J514" s="136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39"/>
      <c r="AA514" s="139"/>
      <c r="AB514" s="139"/>
      <c r="AC514" s="139"/>
      <c r="AD514" s="139"/>
      <c r="AE514" s="139"/>
      <c r="AF514" s="139"/>
      <c r="AG514" s="139"/>
      <c r="AH514" s="139"/>
    </row>
    <row r="515" ht="22.5" customHeight="1" spans="1:34">
      <c r="A515" s="130"/>
      <c r="B515" s="131"/>
      <c r="C515" s="132"/>
      <c r="D515" s="131"/>
      <c r="E515" s="131"/>
      <c r="F515" s="131"/>
      <c r="G515" s="131"/>
      <c r="H515" s="133"/>
      <c r="I515" s="131"/>
      <c r="J515" s="131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  <c r="AA515" s="134"/>
      <c r="AB515" s="134"/>
      <c r="AC515" s="134"/>
      <c r="AD515" s="134"/>
      <c r="AE515" s="134"/>
      <c r="AF515" s="134"/>
      <c r="AG515" s="134"/>
      <c r="AH515" s="134"/>
    </row>
    <row r="516" ht="22.5" customHeight="1" spans="1:34">
      <c r="A516" s="135"/>
      <c r="B516" s="136"/>
      <c r="C516" s="137"/>
      <c r="D516" s="136"/>
      <c r="E516" s="136"/>
      <c r="F516" s="136"/>
      <c r="G516" s="136"/>
      <c r="H516" s="138"/>
      <c r="I516" s="136"/>
      <c r="J516" s="136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39"/>
      <c r="AA516" s="139"/>
      <c r="AB516" s="139"/>
      <c r="AC516" s="139"/>
      <c r="AD516" s="139"/>
      <c r="AE516" s="139"/>
      <c r="AF516" s="139"/>
      <c r="AG516" s="139"/>
      <c r="AH516" s="139"/>
    </row>
    <row r="517" ht="22.5" customHeight="1" spans="1:34">
      <c r="A517" s="130"/>
      <c r="B517" s="131"/>
      <c r="C517" s="132"/>
      <c r="D517" s="131"/>
      <c r="E517" s="131"/>
      <c r="F517" s="131"/>
      <c r="G517" s="131"/>
      <c r="H517" s="133"/>
      <c r="I517" s="131"/>
      <c r="J517" s="131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  <c r="AA517" s="134"/>
      <c r="AB517" s="134"/>
      <c r="AC517" s="134"/>
      <c r="AD517" s="134"/>
      <c r="AE517" s="134"/>
      <c r="AF517" s="134"/>
      <c r="AG517" s="134"/>
      <c r="AH517" s="134"/>
    </row>
    <row r="518" ht="22.5" customHeight="1" spans="1:34">
      <c r="A518" s="135"/>
      <c r="B518" s="136"/>
      <c r="C518" s="137"/>
      <c r="D518" s="136"/>
      <c r="E518" s="136"/>
      <c r="F518" s="136"/>
      <c r="G518" s="136"/>
      <c r="H518" s="138"/>
      <c r="I518" s="136"/>
      <c r="J518" s="136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  <c r="AA518" s="139"/>
      <c r="AB518" s="139"/>
      <c r="AC518" s="139"/>
      <c r="AD518" s="139"/>
      <c r="AE518" s="139"/>
      <c r="AF518" s="139"/>
      <c r="AG518" s="139"/>
      <c r="AH518" s="139"/>
    </row>
    <row r="519" ht="22.5" customHeight="1" spans="1:34">
      <c r="A519" s="130"/>
      <c r="B519" s="131"/>
      <c r="C519" s="132"/>
      <c r="D519" s="131"/>
      <c r="E519" s="131"/>
      <c r="F519" s="131"/>
      <c r="G519" s="131"/>
      <c r="H519" s="133"/>
      <c r="I519" s="131"/>
      <c r="J519" s="131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4"/>
      <c r="AC519" s="134"/>
      <c r="AD519" s="134"/>
      <c r="AE519" s="134"/>
      <c r="AF519" s="134"/>
      <c r="AG519" s="134"/>
      <c r="AH519" s="134"/>
    </row>
    <row r="520" ht="22.5" customHeight="1" spans="1:34">
      <c r="A520" s="135"/>
      <c r="B520" s="136"/>
      <c r="C520" s="137"/>
      <c r="D520" s="136"/>
      <c r="E520" s="136"/>
      <c r="F520" s="136"/>
      <c r="G520" s="136"/>
      <c r="H520" s="138"/>
      <c r="I520" s="136"/>
      <c r="J520" s="136"/>
      <c r="K520" s="139"/>
      <c r="L520" s="139"/>
      <c r="M520" s="139"/>
      <c r="N520" s="139"/>
      <c r="O520" s="139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39"/>
      <c r="AA520" s="139"/>
      <c r="AB520" s="139"/>
      <c r="AC520" s="139"/>
      <c r="AD520" s="139"/>
      <c r="AE520" s="139"/>
      <c r="AF520" s="139"/>
      <c r="AG520" s="139"/>
      <c r="AH520" s="139"/>
    </row>
    <row r="521" ht="22.5" customHeight="1" spans="1:34">
      <c r="A521" s="130"/>
      <c r="B521" s="131"/>
      <c r="C521" s="132"/>
      <c r="D521" s="131"/>
      <c r="E521" s="131"/>
      <c r="F521" s="131"/>
      <c r="G521" s="131"/>
      <c r="H521" s="133"/>
      <c r="I521" s="131"/>
      <c r="J521" s="131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  <c r="AA521" s="134"/>
      <c r="AB521" s="134"/>
      <c r="AC521" s="134"/>
      <c r="AD521" s="134"/>
      <c r="AE521" s="134"/>
      <c r="AF521" s="134"/>
      <c r="AG521" s="134"/>
      <c r="AH521" s="134"/>
    </row>
    <row r="522" ht="22.5" customHeight="1" spans="1:34">
      <c r="A522" s="135"/>
      <c r="B522" s="136"/>
      <c r="C522" s="137"/>
      <c r="D522" s="136"/>
      <c r="E522" s="136"/>
      <c r="F522" s="136"/>
      <c r="G522" s="136"/>
      <c r="H522" s="138"/>
      <c r="I522" s="136"/>
      <c r="J522" s="136"/>
      <c r="K522" s="139"/>
      <c r="L522" s="139"/>
      <c r="M522" s="139"/>
      <c r="N522" s="139"/>
      <c r="O522" s="139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39"/>
      <c r="AA522" s="139"/>
      <c r="AB522" s="139"/>
      <c r="AC522" s="139"/>
      <c r="AD522" s="139"/>
      <c r="AE522" s="139"/>
      <c r="AF522" s="139"/>
      <c r="AG522" s="139"/>
      <c r="AH522" s="139"/>
    </row>
    <row r="523" ht="22.5" customHeight="1" spans="1:34">
      <c r="A523" s="130"/>
      <c r="B523" s="131"/>
      <c r="C523" s="132"/>
      <c r="D523" s="131"/>
      <c r="E523" s="131"/>
      <c r="F523" s="131"/>
      <c r="G523" s="131"/>
      <c r="H523" s="133"/>
      <c r="I523" s="131"/>
      <c r="J523" s="131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  <c r="AA523" s="134"/>
      <c r="AB523" s="134"/>
      <c r="AC523" s="134"/>
      <c r="AD523" s="134"/>
      <c r="AE523" s="134"/>
      <c r="AF523" s="134"/>
      <c r="AG523" s="134"/>
      <c r="AH523" s="134"/>
    </row>
    <row r="524" ht="22.5" customHeight="1" spans="1:34">
      <c r="A524" s="135"/>
      <c r="B524" s="136"/>
      <c r="C524" s="137"/>
      <c r="D524" s="136"/>
      <c r="E524" s="136"/>
      <c r="F524" s="136"/>
      <c r="G524" s="136"/>
      <c r="H524" s="138"/>
      <c r="I524" s="136"/>
      <c r="J524" s="136"/>
      <c r="K524" s="139"/>
      <c r="L524" s="139"/>
      <c r="M524" s="139"/>
      <c r="N524" s="139"/>
      <c r="O524" s="139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39"/>
      <c r="AA524" s="139"/>
      <c r="AB524" s="139"/>
      <c r="AC524" s="139"/>
      <c r="AD524" s="139"/>
      <c r="AE524" s="139"/>
      <c r="AF524" s="139"/>
      <c r="AG524" s="139"/>
      <c r="AH524" s="139"/>
    </row>
    <row r="525" ht="22.5" customHeight="1" spans="1:34">
      <c r="A525" s="130"/>
      <c r="B525" s="131"/>
      <c r="C525" s="132"/>
      <c r="D525" s="131"/>
      <c r="E525" s="131"/>
      <c r="F525" s="131"/>
      <c r="G525" s="131"/>
      <c r="H525" s="133"/>
      <c r="I525" s="131"/>
      <c r="J525" s="131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  <c r="AA525" s="134"/>
      <c r="AB525" s="134"/>
      <c r="AC525" s="134"/>
      <c r="AD525" s="134"/>
      <c r="AE525" s="134"/>
      <c r="AF525" s="134"/>
      <c r="AG525" s="134"/>
      <c r="AH525" s="134"/>
    </row>
    <row r="526" ht="22.5" customHeight="1" spans="1:34">
      <c r="A526" s="135"/>
      <c r="B526" s="136"/>
      <c r="C526" s="137"/>
      <c r="D526" s="136"/>
      <c r="E526" s="136"/>
      <c r="F526" s="136"/>
      <c r="G526" s="136"/>
      <c r="H526" s="138"/>
      <c r="I526" s="136"/>
      <c r="J526" s="136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39"/>
      <c r="AA526" s="139"/>
      <c r="AB526" s="139"/>
      <c r="AC526" s="139"/>
      <c r="AD526" s="139"/>
      <c r="AE526" s="139"/>
      <c r="AF526" s="139"/>
      <c r="AG526" s="139"/>
      <c r="AH526" s="139"/>
    </row>
    <row r="527" ht="22.5" customHeight="1" spans="1:34">
      <c r="A527" s="130"/>
      <c r="B527" s="131"/>
      <c r="C527" s="132"/>
      <c r="D527" s="131"/>
      <c r="E527" s="131"/>
      <c r="F527" s="131"/>
      <c r="G527" s="131"/>
      <c r="H527" s="133"/>
      <c r="I527" s="131"/>
      <c r="J527" s="131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  <c r="AA527" s="134"/>
      <c r="AB527" s="134"/>
      <c r="AC527" s="134"/>
      <c r="AD527" s="134"/>
      <c r="AE527" s="134"/>
      <c r="AF527" s="134"/>
      <c r="AG527" s="134"/>
      <c r="AH527" s="134"/>
    </row>
    <row r="528" ht="22.5" customHeight="1" spans="1:34">
      <c r="A528" s="135"/>
      <c r="B528" s="136"/>
      <c r="C528" s="137"/>
      <c r="D528" s="136"/>
      <c r="E528" s="136"/>
      <c r="F528" s="136"/>
      <c r="G528" s="136"/>
      <c r="H528" s="138"/>
      <c r="I528" s="136"/>
      <c r="J528" s="136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39"/>
      <c r="AA528" s="139"/>
      <c r="AB528" s="139"/>
      <c r="AC528" s="139"/>
      <c r="AD528" s="139"/>
      <c r="AE528" s="139"/>
      <c r="AF528" s="139"/>
      <c r="AG528" s="139"/>
      <c r="AH528" s="139"/>
    </row>
    <row r="529" ht="22.5" customHeight="1" spans="1:34">
      <c r="A529" s="130"/>
      <c r="B529" s="131"/>
      <c r="C529" s="132"/>
      <c r="D529" s="131"/>
      <c r="E529" s="131"/>
      <c r="F529" s="131"/>
      <c r="G529" s="131"/>
      <c r="H529" s="133"/>
      <c r="I529" s="131"/>
      <c r="J529" s="131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  <c r="AA529" s="134"/>
      <c r="AB529" s="134"/>
      <c r="AC529" s="134"/>
      <c r="AD529" s="134"/>
      <c r="AE529" s="134"/>
      <c r="AF529" s="134"/>
      <c r="AG529" s="134"/>
      <c r="AH529" s="134"/>
    </row>
    <row r="530" ht="22.5" customHeight="1" spans="1:34">
      <c r="A530" s="135"/>
      <c r="B530" s="136"/>
      <c r="C530" s="137"/>
      <c r="D530" s="136"/>
      <c r="E530" s="136"/>
      <c r="F530" s="136"/>
      <c r="G530" s="136"/>
      <c r="H530" s="138"/>
      <c r="I530" s="136"/>
      <c r="J530" s="136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39"/>
      <c r="AA530" s="139"/>
      <c r="AB530" s="139"/>
      <c r="AC530" s="139"/>
      <c r="AD530" s="139"/>
      <c r="AE530" s="139"/>
      <c r="AF530" s="139"/>
      <c r="AG530" s="139"/>
      <c r="AH530" s="139"/>
    </row>
    <row r="531" ht="22.5" customHeight="1" spans="1:34">
      <c r="A531" s="130"/>
      <c r="B531" s="131"/>
      <c r="C531" s="132"/>
      <c r="D531" s="131"/>
      <c r="E531" s="131"/>
      <c r="F531" s="131"/>
      <c r="G531" s="131"/>
      <c r="H531" s="133"/>
      <c r="I531" s="131"/>
      <c r="J531" s="131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  <c r="AA531" s="134"/>
      <c r="AB531" s="134"/>
      <c r="AC531" s="134"/>
      <c r="AD531" s="134"/>
      <c r="AE531" s="134"/>
      <c r="AF531" s="134"/>
      <c r="AG531" s="134"/>
      <c r="AH531" s="134"/>
    </row>
    <row r="532" ht="22.5" customHeight="1" spans="1:34">
      <c r="A532" s="135"/>
      <c r="B532" s="136"/>
      <c r="C532" s="137"/>
      <c r="D532" s="136"/>
      <c r="E532" s="136"/>
      <c r="F532" s="136"/>
      <c r="G532" s="136"/>
      <c r="H532" s="138"/>
      <c r="I532" s="136"/>
      <c r="J532" s="136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39"/>
      <c r="AA532" s="139"/>
      <c r="AB532" s="139"/>
      <c r="AC532" s="139"/>
      <c r="AD532" s="139"/>
      <c r="AE532" s="139"/>
      <c r="AF532" s="139"/>
      <c r="AG532" s="139"/>
      <c r="AH532" s="139"/>
    </row>
    <row r="533" ht="22.5" customHeight="1" spans="1:34">
      <c r="A533" s="130"/>
      <c r="B533" s="131"/>
      <c r="C533" s="132"/>
      <c r="D533" s="131"/>
      <c r="E533" s="131"/>
      <c r="F533" s="131"/>
      <c r="G533" s="131"/>
      <c r="H533" s="133"/>
      <c r="I533" s="131"/>
      <c r="J533" s="131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  <c r="AA533" s="134"/>
      <c r="AB533" s="134"/>
      <c r="AC533" s="134"/>
      <c r="AD533" s="134"/>
      <c r="AE533" s="134"/>
      <c r="AF533" s="134"/>
      <c r="AG533" s="134"/>
      <c r="AH533" s="134"/>
    </row>
    <row r="534" ht="22.5" customHeight="1" spans="1:34">
      <c r="A534" s="135"/>
      <c r="B534" s="136"/>
      <c r="C534" s="137"/>
      <c r="D534" s="136"/>
      <c r="E534" s="136"/>
      <c r="F534" s="136"/>
      <c r="G534" s="136"/>
      <c r="H534" s="138"/>
      <c r="I534" s="136"/>
      <c r="J534" s="136"/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39"/>
      <c r="AA534" s="139"/>
      <c r="AB534" s="139"/>
      <c r="AC534" s="139"/>
      <c r="AD534" s="139"/>
      <c r="AE534" s="139"/>
      <c r="AF534" s="139"/>
      <c r="AG534" s="139"/>
      <c r="AH534" s="139"/>
    </row>
    <row r="535" ht="22.5" customHeight="1" spans="1:34">
      <c r="A535" s="130"/>
      <c r="B535" s="131"/>
      <c r="C535" s="132"/>
      <c r="D535" s="131"/>
      <c r="E535" s="131"/>
      <c r="F535" s="131"/>
      <c r="G535" s="131"/>
      <c r="H535" s="133"/>
      <c r="I535" s="131"/>
      <c r="J535" s="131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  <c r="AA535" s="134"/>
      <c r="AB535" s="134"/>
      <c r="AC535" s="134"/>
      <c r="AD535" s="134"/>
      <c r="AE535" s="134"/>
      <c r="AF535" s="134"/>
      <c r="AG535" s="134"/>
      <c r="AH535" s="134"/>
    </row>
    <row r="536" ht="22.5" customHeight="1" spans="1:34">
      <c r="A536" s="135"/>
      <c r="B536" s="136"/>
      <c r="C536" s="137"/>
      <c r="D536" s="136"/>
      <c r="E536" s="136"/>
      <c r="F536" s="136"/>
      <c r="G536" s="136"/>
      <c r="H536" s="138"/>
      <c r="I536" s="136"/>
      <c r="J536" s="136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39"/>
      <c r="AA536" s="139"/>
      <c r="AB536" s="139"/>
      <c r="AC536" s="139"/>
      <c r="AD536" s="139"/>
      <c r="AE536" s="139"/>
      <c r="AF536" s="139"/>
      <c r="AG536" s="139"/>
      <c r="AH536" s="139"/>
    </row>
    <row r="537" ht="22.5" customHeight="1" spans="1:34">
      <c r="A537" s="130"/>
      <c r="B537" s="131"/>
      <c r="C537" s="132"/>
      <c r="D537" s="131"/>
      <c r="E537" s="131"/>
      <c r="F537" s="131"/>
      <c r="G537" s="131"/>
      <c r="H537" s="133"/>
      <c r="I537" s="131"/>
      <c r="J537" s="131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  <c r="AA537" s="134"/>
      <c r="AB537" s="134"/>
      <c r="AC537" s="134"/>
      <c r="AD537" s="134"/>
      <c r="AE537" s="134"/>
      <c r="AF537" s="134"/>
      <c r="AG537" s="134"/>
      <c r="AH537" s="134"/>
    </row>
    <row r="538" ht="22.5" customHeight="1" spans="1:34">
      <c r="A538" s="135"/>
      <c r="B538" s="136"/>
      <c r="C538" s="137"/>
      <c r="D538" s="136"/>
      <c r="E538" s="136"/>
      <c r="F538" s="136"/>
      <c r="G538" s="136"/>
      <c r="H538" s="138"/>
      <c r="I538" s="136"/>
      <c r="J538" s="136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39"/>
      <c r="AA538" s="139"/>
      <c r="AB538" s="139"/>
      <c r="AC538" s="139"/>
      <c r="AD538" s="139"/>
      <c r="AE538" s="139"/>
      <c r="AF538" s="139"/>
      <c r="AG538" s="139"/>
      <c r="AH538" s="139"/>
    </row>
    <row r="539" ht="22.5" customHeight="1" spans="1:34">
      <c r="A539" s="130"/>
      <c r="B539" s="131"/>
      <c r="C539" s="132"/>
      <c r="D539" s="131"/>
      <c r="E539" s="131"/>
      <c r="F539" s="131"/>
      <c r="G539" s="131"/>
      <c r="H539" s="133"/>
      <c r="I539" s="131"/>
      <c r="J539" s="131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  <c r="AA539" s="134"/>
      <c r="AB539" s="134"/>
      <c r="AC539" s="134"/>
      <c r="AD539" s="134"/>
      <c r="AE539" s="134"/>
      <c r="AF539" s="134"/>
      <c r="AG539" s="134"/>
      <c r="AH539" s="134"/>
    </row>
    <row r="540" ht="22.5" customHeight="1" spans="1:34">
      <c r="A540" s="135"/>
      <c r="B540" s="136"/>
      <c r="C540" s="137"/>
      <c r="D540" s="136"/>
      <c r="E540" s="136"/>
      <c r="F540" s="136"/>
      <c r="G540" s="136"/>
      <c r="H540" s="138"/>
      <c r="I540" s="136"/>
      <c r="J540" s="136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39"/>
      <c r="AA540" s="139"/>
      <c r="AB540" s="139"/>
      <c r="AC540" s="139"/>
      <c r="AD540" s="139"/>
      <c r="AE540" s="139"/>
      <c r="AF540" s="139"/>
      <c r="AG540" s="139"/>
      <c r="AH540" s="139"/>
    </row>
    <row r="541" ht="22.5" customHeight="1" spans="1:34">
      <c r="A541" s="130"/>
      <c r="B541" s="131"/>
      <c r="C541" s="132"/>
      <c r="D541" s="131"/>
      <c r="E541" s="131"/>
      <c r="F541" s="131"/>
      <c r="G541" s="131"/>
      <c r="H541" s="133"/>
      <c r="I541" s="131"/>
      <c r="J541" s="131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  <c r="AA541" s="134"/>
      <c r="AB541" s="134"/>
      <c r="AC541" s="134"/>
      <c r="AD541" s="134"/>
      <c r="AE541" s="134"/>
      <c r="AF541" s="134"/>
      <c r="AG541" s="134"/>
      <c r="AH541" s="134"/>
    </row>
    <row r="542" ht="22.5" customHeight="1" spans="1:34">
      <c r="A542" s="135"/>
      <c r="B542" s="136"/>
      <c r="C542" s="137"/>
      <c r="D542" s="136"/>
      <c r="E542" s="136"/>
      <c r="F542" s="136"/>
      <c r="G542" s="136"/>
      <c r="H542" s="138"/>
      <c r="I542" s="136"/>
      <c r="J542" s="136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  <c r="AA542" s="139"/>
      <c r="AB542" s="139"/>
      <c r="AC542" s="139"/>
      <c r="AD542" s="139"/>
      <c r="AE542" s="139"/>
      <c r="AF542" s="139"/>
      <c r="AG542" s="139"/>
      <c r="AH542" s="139"/>
    </row>
    <row r="543" ht="22.5" customHeight="1" spans="1:34">
      <c r="A543" s="130"/>
      <c r="B543" s="131"/>
      <c r="C543" s="132"/>
      <c r="D543" s="131"/>
      <c r="E543" s="131"/>
      <c r="F543" s="131"/>
      <c r="G543" s="131"/>
      <c r="H543" s="133"/>
      <c r="I543" s="131"/>
      <c r="J543" s="131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  <c r="AA543" s="134"/>
      <c r="AB543" s="134"/>
      <c r="AC543" s="134"/>
      <c r="AD543" s="134"/>
      <c r="AE543" s="134"/>
      <c r="AF543" s="134"/>
      <c r="AG543" s="134"/>
      <c r="AH543" s="134"/>
    </row>
    <row r="544" ht="22.5" customHeight="1" spans="1:34">
      <c r="A544" s="135"/>
      <c r="B544" s="136"/>
      <c r="C544" s="137"/>
      <c r="D544" s="136"/>
      <c r="E544" s="136"/>
      <c r="F544" s="136"/>
      <c r="G544" s="136"/>
      <c r="H544" s="138"/>
      <c r="I544" s="136"/>
      <c r="J544" s="136"/>
      <c r="K544" s="139"/>
      <c r="L544" s="139"/>
      <c r="M544" s="139"/>
      <c r="N544" s="139"/>
      <c r="O544" s="139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39"/>
      <c r="AA544" s="139"/>
      <c r="AB544" s="139"/>
      <c r="AC544" s="139"/>
      <c r="AD544" s="139"/>
      <c r="AE544" s="139"/>
      <c r="AF544" s="139"/>
      <c r="AG544" s="139"/>
      <c r="AH544" s="139"/>
    </row>
    <row r="545" ht="22.5" customHeight="1" spans="1:34">
      <c r="A545" s="130"/>
      <c r="B545" s="131"/>
      <c r="C545" s="132"/>
      <c r="D545" s="131"/>
      <c r="E545" s="131"/>
      <c r="F545" s="131"/>
      <c r="G545" s="131"/>
      <c r="H545" s="133"/>
      <c r="I545" s="131"/>
      <c r="J545" s="131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  <c r="AA545" s="134"/>
      <c r="AB545" s="134"/>
      <c r="AC545" s="134"/>
      <c r="AD545" s="134"/>
      <c r="AE545" s="134"/>
      <c r="AF545" s="134"/>
      <c r="AG545" s="134"/>
      <c r="AH545" s="134"/>
    </row>
    <row r="546" ht="22.5" customHeight="1" spans="1:34">
      <c r="A546" s="135"/>
      <c r="B546" s="136"/>
      <c r="C546" s="137"/>
      <c r="D546" s="136"/>
      <c r="E546" s="136"/>
      <c r="F546" s="136"/>
      <c r="G546" s="136"/>
      <c r="H546" s="138"/>
      <c r="I546" s="136"/>
      <c r="J546" s="136"/>
      <c r="K546" s="139"/>
      <c r="L546" s="139"/>
      <c r="M546" s="139"/>
      <c r="N546" s="139"/>
      <c r="O546" s="139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39"/>
      <c r="AA546" s="139"/>
      <c r="AB546" s="139"/>
      <c r="AC546" s="139"/>
      <c r="AD546" s="139"/>
      <c r="AE546" s="139"/>
      <c r="AF546" s="139"/>
      <c r="AG546" s="139"/>
      <c r="AH546" s="139"/>
    </row>
    <row r="547" ht="22.5" customHeight="1" spans="1:34">
      <c r="A547" s="130"/>
      <c r="B547" s="131"/>
      <c r="C547" s="132"/>
      <c r="D547" s="131"/>
      <c r="E547" s="131"/>
      <c r="F547" s="131"/>
      <c r="G547" s="131"/>
      <c r="H547" s="133"/>
      <c r="I547" s="131"/>
      <c r="J547" s="131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  <c r="AA547" s="134"/>
      <c r="AB547" s="134"/>
      <c r="AC547" s="134"/>
      <c r="AD547" s="134"/>
      <c r="AE547" s="134"/>
      <c r="AF547" s="134"/>
      <c r="AG547" s="134"/>
      <c r="AH547" s="134"/>
    </row>
    <row r="548" ht="22.5" customHeight="1" spans="1:34">
      <c r="A548" s="135"/>
      <c r="B548" s="136"/>
      <c r="C548" s="137"/>
      <c r="D548" s="136"/>
      <c r="E548" s="136"/>
      <c r="F548" s="136"/>
      <c r="G548" s="136"/>
      <c r="H548" s="138"/>
      <c r="I548" s="136"/>
      <c r="J548" s="136"/>
      <c r="K548" s="139"/>
      <c r="L548" s="139"/>
      <c r="M548" s="139"/>
      <c r="N548" s="139"/>
      <c r="O548" s="139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39"/>
      <c r="AA548" s="139"/>
      <c r="AB548" s="139"/>
      <c r="AC548" s="139"/>
      <c r="AD548" s="139"/>
      <c r="AE548" s="139"/>
      <c r="AF548" s="139"/>
      <c r="AG548" s="139"/>
      <c r="AH548" s="139"/>
    </row>
    <row r="549" ht="22.5" customHeight="1" spans="1:34">
      <c r="A549" s="130"/>
      <c r="B549" s="131"/>
      <c r="C549" s="132"/>
      <c r="D549" s="131"/>
      <c r="E549" s="131"/>
      <c r="F549" s="131"/>
      <c r="G549" s="131"/>
      <c r="H549" s="133"/>
      <c r="I549" s="131"/>
      <c r="J549" s="131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  <c r="AA549" s="134"/>
      <c r="AB549" s="134"/>
      <c r="AC549" s="134"/>
      <c r="AD549" s="134"/>
      <c r="AE549" s="134"/>
      <c r="AF549" s="134"/>
      <c r="AG549" s="134"/>
      <c r="AH549" s="134"/>
    </row>
    <row r="550" ht="22.5" customHeight="1" spans="1:34">
      <c r="A550" s="135"/>
      <c r="B550" s="136"/>
      <c r="C550" s="137"/>
      <c r="D550" s="136"/>
      <c r="E550" s="136"/>
      <c r="F550" s="136"/>
      <c r="G550" s="136"/>
      <c r="H550" s="138"/>
      <c r="I550" s="136"/>
      <c r="J550" s="136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39"/>
      <c r="AA550" s="139"/>
      <c r="AB550" s="139"/>
      <c r="AC550" s="139"/>
      <c r="AD550" s="139"/>
      <c r="AE550" s="139"/>
      <c r="AF550" s="139"/>
      <c r="AG550" s="139"/>
      <c r="AH550" s="139"/>
    </row>
    <row r="551" ht="22.5" customHeight="1" spans="1:34">
      <c r="A551" s="130"/>
      <c r="B551" s="131"/>
      <c r="C551" s="132"/>
      <c r="D551" s="131"/>
      <c r="E551" s="131"/>
      <c r="F551" s="131"/>
      <c r="G551" s="131"/>
      <c r="H551" s="133"/>
      <c r="I551" s="131"/>
      <c r="J551" s="131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4"/>
      <c r="AC551" s="134"/>
      <c r="AD551" s="134"/>
      <c r="AE551" s="134"/>
      <c r="AF551" s="134"/>
      <c r="AG551" s="134"/>
      <c r="AH551" s="134"/>
    </row>
    <row r="552" ht="22.5" customHeight="1" spans="1:34">
      <c r="A552" s="135"/>
      <c r="B552" s="136"/>
      <c r="C552" s="137"/>
      <c r="D552" s="136"/>
      <c r="E552" s="136"/>
      <c r="F552" s="136"/>
      <c r="G552" s="136"/>
      <c r="H552" s="138"/>
      <c r="I552" s="136"/>
      <c r="J552" s="136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39"/>
      <c r="AA552" s="139"/>
      <c r="AB552" s="139"/>
      <c r="AC552" s="139"/>
      <c r="AD552" s="139"/>
      <c r="AE552" s="139"/>
      <c r="AF552" s="139"/>
      <c r="AG552" s="139"/>
      <c r="AH552" s="139"/>
    </row>
    <row r="553" ht="22.5" customHeight="1" spans="1:34">
      <c r="A553" s="130"/>
      <c r="B553" s="131"/>
      <c r="C553" s="132"/>
      <c r="D553" s="131"/>
      <c r="E553" s="131"/>
      <c r="F553" s="131"/>
      <c r="G553" s="131"/>
      <c r="H553" s="133"/>
      <c r="I553" s="131"/>
      <c r="J553" s="131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  <c r="AA553" s="134"/>
      <c r="AB553" s="134"/>
      <c r="AC553" s="134"/>
      <c r="AD553" s="134"/>
      <c r="AE553" s="134"/>
      <c r="AF553" s="134"/>
      <c r="AG553" s="134"/>
      <c r="AH553" s="134"/>
    </row>
    <row r="554" ht="22.5" customHeight="1" spans="1:34">
      <c r="A554" s="135"/>
      <c r="B554" s="136"/>
      <c r="C554" s="137"/>
      <c r="D554" s="136"/>
      <c r="E554" s="136"/>
      <c r="F554" s="136"/>
      <c r="G554" s="136"/>
      <c r="H554" s="138"/>
      <c r="I554" s="136"/>
      <c r="J554" s="136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39"/>
      <c r="AA554" s="139"/>
      <c r="AB554" s="139"/>
      <c r="AC554" s="139"/>
      <c r="AD554" s="139"/>
      <c r="AE554" s="139"/>
      <c r="AF554" s="139"/>
      <c r="AG554" s="139"/>
      <c r="AH554" s="139"/>
    </row>
    <row r="555" ht="22.5" customHeight="1" spans="1:34">
      <c r="A555" s="130"/>
      <c r="B555" s="131"/>
      <c r="C555" s="132"/>
      <c r="D555" s="131"/>
      <c r="E555" s="131"/>
      <c r="F555" s="131"/>
      <c r="G555" s="131"/>
      <c r="H555" s="133"/>
      <c r="I555" s="131"/>
      <c r="J555" s="131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  <c r="AA555" s="134"/>
      <c r="AB555" s="134"/>
      <c r="AC555" s="134"/>
      <c r="AD555" s="134"/>
      <c r="AE555" s="134"/>
      <c r="AF555" s="134"/>
      <c r="AG555" s="134"/>
      <c r="AH555" s="134"/>
    </row>
    <row r="556" ht="22.5" customHeight="1" spans="1:34">
      <c r="A556" s="135"/>
      <c r="B556" s="136"/>
      <c r="C556" s="137"/>
      <c r="D556" s="136"/>
      <c r="E556" s="136"/>
      <c r="F556" s="136"/>
      <c r="G556" s="136"/>
      <c r="H556" s="138"/>
      <c r="I556" s="136"/>
      <c r="J556" s="136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39"/>
      <c r="AA556" s="139"/>
      <c r="AB556" s="139"/>
      <c r="AC556" s="139"/>
      <c r="AD556" s="139"/>
      <c r="AE556" s="139"/>
      <c r="AF556" s="139"/>
      <c r="AG556" s="139"/>
      <c r="AH556" s="139"/>
    </row>
    <row r="557" ht="22.5" customHeight="1" spans="1:34">
      <c r="A557" s="130"/>
      <c r="B557" s="131"/>
      <c r="C557" s="132"/>
      <c r="D557" s="131"/>
      <c r="E557" s="131"/>
      <c r="F557" s="131"/>
      <c r="G557" s="131"/>
      <c r="H557" s="133"/>
      <c r="I557" s="131"/>
      <c r="J557" s="131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  <c r="AA557" s="134"/>
      <c r="AB557" s="134"/>
      <c r="AC557" s="134"/>
      <c r="AD557" s="134"/>
      <c r="AE557" s="134"/>
      <c r="AF557" s="134"/>
      <c r="AG557" s="134"/>
      <c r="AH557" s="134"/>
    </row>
    <row r="558" ht="22.5" customHeight="1" spans="1:34">
      <c r="A558" s="135"/>
      <c r="B558" s="136"/>
      <c r="C558" s="137"/>
      <c r="D558" s="136"/>
      <c r="E558" s="136"/>
      <c r="F558" s="136"/>
      <c r="G558" s="136"/>
      <c r="H558" s="138"/>
      <c r="I558" s="136"/>
      <c r="J558" s="136"/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39"/>
      <c r="AA558" s="139"/>
      <c r="AB558" s="139"/>
      <c r="AC558" s="139"/>
      <c r="AD558" s="139"/>
      <c r="AE558" s="139"/>
      <c r="AF558" s="139"/>
      <c r="AG558" s="139"/>
      <c r="AH558" s="139"/>
    </row>
    <row r="559" ht="22.5" customHeight="1" spans="1:34">
      <c r="A559" s="130"/>
      <c r="B559" s="131"/>
      <c r="C559" s="132"/>
      <c r="D559" s="131"/>
      <c r="E559" s="131"/>
      <c r="F559" s="131"/>
      <c r="G559" s="131"/>
      <c r="H559" s="133"/>
      <c r="I559" s="131"/>
      <c r="J559" s="131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  <c r="AA559" s="134"/>
      <c r="AB559" s="134"/>
      <c r="AC559" s="134"/>
      <c r="AD559" s="134"/>
      <c r="AE559" s="134"/>
      <c r="AF559" s="134"/>
      <c r="AG559" s="134"/>
      <c r="AH559" s="134"/>
    </row>
    <row r="560" ht="22.5" customHeight="1" spans="1:34">
      <c r="A560" s="135"/>
      <c r="B560" s="136"/>
      <c r="C560" s="137"/>
      <c r="D560" s="136"/>
      <c r="E560" s="136"/>
      <c r="F560" s="136"/>
      <c r="G560" s="136"/>
      <c r="H560" s="138"/>
      <c r="I560" s="136"/>
      <c r="J560" s="136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39"/>
      <c r="AA560" s="139"/>
      <c r="AB560" s="139"/>
      <c r="AC560" s="139"/>
      <c r="AD560" s="139"/>
      <c r="AE560" s="139"/>
      <c r="AF560" s="139"/>
      <c r="AG560" s="139"/>
      <c r="AH560" s="139"/>
    </row>
    <row r="561" ht="22.5" customHeight="1" spans="1:34">
      <c r="A561" s="130"/>
      <c r="B561" s="131"/>
      <c r="C561" s="132"/>
      <c r="D561" s="131"/>
      <c r="E561" s="131"/>
      <c r="F561" s="131"/>
      <c r="G561" s="131"/>
      <c r="H561" s="133"/>
      <c r="I561" s="131"/>
      <c r="J561" s="131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  <c r="AA561" s="134"/>
      <c r="AB561" s="134"/>
      <c r="AC561" s="134"/>
      <c r="AD561" s="134"/>
      <c r="AE561" s="134"/>
      <c r="AF561" s="134"/>
      <c r="AG561" s="134"/>
      <c r="AH561" s="134"/>
    </row>
    <row r="562" ht="22.5" customHeight="1" spans="1:34">
      <c r="A562" s="135"/>
      <c r="B562" s="136"/>
      <c r="C562" s="137"/>
      <c r="D562" s="136"/>
      <c r="E562" s="136"/>
      <c r="F562" s="136"/>
      <c r="G562" s="136"/>
      <c r="H562" s="138"/>
      <c r="I562" s="136"/>
      <c r="J562" s="136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39"/>
      <c r="AA562" s="139"/>
      <c r="AB562" s="139"/>
      <c r="AC562" s="139"/>
      <c r="AD562" s="139"/>
      <c r="AE562" s="139"/>
      <c r="AF562" s="139"/>
      <c r="AG562" s="139"/>
      <c r="AH562" s="139"/>
    </row>
    <row r="563" ht="22.5" customHeight="1" spans="1:34">
      <c r="A563" s="130"/>
      <c r="B563" s="131"/>
      <c r="C563" s="132"/>
      <c r="D563" s="131"/>
      <c r="E563" s="131"/>
      <c r="F563" s="131"/>
      <c r="G563" s="131"/>
      <c r="H563" s="133"/>
      <c r="I563" s="131"/>
      <c r="J563" s="131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4"/>
      <c r="AC563" s="134"/>
      <c r="AD563" s="134"/>
      <c r="AE563" s="134"/>
      <c r="AF563" s="134"/>
      <c r="AG563" s="134"/>
      <c r="AH563" s="134"/>
    </row>
    <row r="564" ht="22.5" customHeight="1" spans="1:34">
      <c r="A564" s="135"/>
      <c r="B564" s="136"/>
      <c r="C564" s="137"/>
      <c r="D564" s="136"/>
      <c r="E564" s="136"/>
      <c r="F564" s="136"/>
      <c r="G564" s="136"/>
      <c r="H564" s="138"/>
      <c r="I564" s="136"/>
      <c r="J564" s="136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39"/>
      <c r="AA564" s="139"/>
      <c r="AB564" s="139"/>
      <c r="AC564" s="139"/>
      <c r="AD564" s="139"/>
      <c r="AE564" s="139"/>
      <c r="AF564" s="139"/>
      <c r="AG564" s="139"/>
      <c r="AH564" s="139"/>
    </row>
    <row r="565" ht="22.5" customHeight="1" spans="1:34">
      <c r="A565" s="130"/>
      <c r="B565" s="131"/>
      <c r="C565" s="132"/>
      <c r="D565" s="131"/>
      <c r="E565" s="131"/>
      <c r="F565" s="131"/>
      <c r="G565" s="131"/>
      <c r="H565" s="133"/>
      <c r="I565" s="131"/>
      <c r="J565" s="131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  <c r="AA565" s="134"/>
      <c r="AB565" s="134"/>
      <c r="AC565" s="134"/>
      <c r="AD565" s="134"/>
      <c r="AE565" s="134"/>
      <c r="AF565" s="134"/>
      <c r="AG565" s="134"/>
      <c r="AH565" s="134"/>
    </row>
    <row r="566" ht="22.5" customHeight="1" spans="1:34">
      <c r="A566" s="135"/>
      <c r="B566" s="136"/>
      <c r="C566" s="137"/>
      <c r="D566" s="136"/>
      <c r="E566" s="136"/>
      <c r="F566" s="136"/>
      <c r="G566" s="136"/>
      <c r="H566" s="138"/>
      <c r="I566" s="136"/>
      <c r="J566" s="136"/>
      <c r="K566" s="139"/>
      <c r="L566" s="139"/>
      <c r="M566" s="139"/>
      <c r="N566" s="139"/>
      <c r="O566" s="139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39"/>
      <c r="AA566" s="139"/>
      <c r="AB566" s="139"/>
      <c r="AC566" s="139"/>
      <c r="AD566" s="139"/>
      <c r="AE566" s="139"/>
      <c r="AF566" s="139"/>
      <c r="AG566" s="139"/>
      <c r="AH566" s="139"/>
    </row>
    <row r="567" ht="22.5" customHeight="1" spans="1:34">
      <c r="A567" s="130"/>
      <c r="B567" s="131"/>
      <c r="C567" s="132"/>
      <c r="D567" s="131"/>
      <c r="E567" s="131"/>
      <c r="F567" s="131"/>
      <c r="G567" s="131"/>
      <c r="H567" s="133"/>
      <c r="I567" s="131"/>
      <c r="J567" s="131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  <c r="AA567" s="134"/>
      <c r="AB567" s="134"/>
      <c r="AC567" s="134"/>
      <c r="AD567" s="134"/>
      <c r="AE567" s="134"/>
      <c r="AF567" s="134"/>
      <c r="AG567" s="134"/>
      <c r="AH567" s="134"/>
    </row>
    <row r="568" ht="22.5" customHeight="1" spans="1:34">
      <c r="A568" s="135"/>
      <c r="B568" s="136"/>
      <c r="C568" s="137"/>
      <c r="D568" s="136"/>
      <c r="E568" s="136"/>
      <c r="F568" s="136"/>
      <c r="G568" s="136"/>
      <c r="H568" s="138"/>
      <c r="I568" s="136"/>
      <c r="J568" s="136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39"/>
      <c r="AA568" s="139"/>
      <c r="AB568" s="139"/>
      <c r="AC568" s="139"/>
      <c r="AD568" s="139"/>
      <c r="AE568" s="139"/>
      <c r="AF568" s="139"/>
      <c r="AG568" s="139"/>
      <c r="AH568" s="139"/>
    </row>
    <row r="569" ht="22.5" customHeight="1" spans="1:34">
      <c r="A569" s="130"/>
      <c r="B569" s="131"/>
      <c r="C569" s="132"/>
      <c r="D569" s="131"/>
      <c r="E569" s="131"/>
      <c r="F569" s="131"/>
      <c r="G569" s="131"/>
      <c r="H569" s="133"/>
      <c r="I569" s="131"/>
      <c r="J569" s="131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  <c r="AA569" s="134"/>
      <c r="AB569" s="134"/>
      <c r="AC569" s="134"/>
      <c r="AD569" s="134"/>
      <c r="AE569" s="134"/>
      <c r="AF569" s="134"/>
      <c r="AG569" s="134"/>
      <c r="AH569" s="134"/>
    </row>
    <row r="570" ht="22.5" customHeight="1" spans="1:34">
      <c r="A570" s="135"/>
      <c r="B570" s="136"/>
      <c r="C570" s="137"/>
      <c r="D570" s="136"/>
      <c r="E570" s="136"/>
      <c r="F570" s="136"/>
      <c r="G570" s="136"/>
      <c r="H570" s="138"/>
      <c r="I570" s="136"/>
      <c r="J570" s="136"/>
      <c r="K570" s="139"/>
      <c r="L570" s="139"/>
      <c r="M570" s="139"/>
      <c r="N570" s="139"/>
      <c r="O570" s="139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39"/>
      <c r="AA570" s="139"/>
      <c r="AB570" s="139"/>
      <c r="AC570" s="139"/>
      <c r="AD570" s="139"/>
      <c r="AE570" s="139"/>
      <c r="AF570" s="139"/>
      <c r="AG570" s="139"/>
      <c r="AH570" s="139"/>
    </row>
    <row r="571" ht="22.5" customHeight="1" spans="1:34">
      <c r="A571" s="130"/>
      <c r="B571" s="131"/>
      <c r="C571" s="132"/>
      <c r="D571" s="131"/>
      <c r="E571" s="131"/>
      <c r="F571" s="131"/>
      <c r="G571" s="131"/>
      <c r="H571" s="133"/>
      <c r="I571" s="131"/>
      <c r="J571" s="131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  <c r="AA571" s="134"/>
      <c r="AB571" s="134"/>
      <c r="AC571" s="134"/>
      <c r="AD571" s="134"/>
      <c r="AE571" s="134"/>
      <c r="AF571" s="134"/>
      <c r="AG571" s="134"/>
      <c r="AH571" s="134"/>
    </row>
    <row r="572" ht="22.5" customHeight="1" spans="1:34">
      <c r="A572" s="135"/>
      <c r="B572" s="136"/>
      <c r="C572" s="137"/>
      <c r="D572" s="136"/>
      <c r="E572" s="136"/>
      <c r="F572" s="136"/>
      <c r="G572" s="136"/>
      <c r="H572" s="138"/>
      <c r="I572" s="136"/>
      <c r="J572" s="136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39"/>
      <c r="AA572" s="139"/>
      <c r="AB572" s="139"/>
      <c r="AC572" s="139"/>
      <c r="AD572" s="139"/>
      <c r="AE572" s="139"/>
      <c r="AF572" s="139"/>
      <c r="AG572" s="139"/>
      <c r="AH572" s="139"/>
    </row>
    <row r="573" ht="22.5" customHeight="1" spans="1:34">
      <c r="A573" s="130"/>
      <c r="B573" s="131"/>
      <c r="C573" s="132"/>
      <c r="D573" s="131"/>
      <c r="E573" s="131"/>
      <c r="F573" s="131"/>
      <c r="G573" s="131"/>
      <c r="H573" s="133"/>
      <c r="I573" s="131"/>
      <c r="J573" s="131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  <c r="AA573" s="134"/>
      <c r="AB573" s="134"/>
      <c r="AC573" s="134"/>
      <c r="AD573" s="134"/>
      <c r="AE573" s="134"/>
      <c r="AF573" s="134"/>
      <c r="AG573" s="134"/>
      <c r="AH573" s="134"/>
    </row>
    <row r="574" ht="22.5" customHeight="1" spans="1:34">
      <c r="A574" s="135"/>
      <c r="B574" s="136"/>
      <c r="C574" s="137"/>
      <c r="D574" s="136"/>
      <c r="E574" s="136"/>
      <c r="F574" s="136"/>
      <c r="G574" s="136"/>
      <c r="H574" s="138"/>
      <c r="I574" s="136"/>
      <c r="J574" s="136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39"/>
      <c r="AA574" s="139"/>
      <c r="AB574" s="139"/>
      <c r="AC574" s="139"/>
      <c r="AD574" s="139"/>
      <c r="AE574" s="139"/>
      <c r="AF574" s="139"/>
      <c r="AG574" s="139"/>
      <c r="AH574" s="139"/>
    </row>
    <row r="575" ht="22.5" customHeight="1" spans="1:34">
      <c r="A575" s="130"/>
      <c r="B575" s="131"/>
      <c r="C575" s="132"/>
      <c r="D575" s="131"/>
      <c r="E575" s="131"/>
      <c r="F575" s="131"/>
      <c r="G575" s="131"/>
      <c r="H575" s="133"/>
      <c r="I575" s="131"/>
      <c r="J575" s="131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  <c r="AA575" s="134"/>
      <c r="AB575" s="134"/>
      <c r="AC575" s="134"/>
      <c r="AD575" s="134"/>
      <c r="AE575" s="134"/>
      <c r="AF575" s="134"/>
      <c r="AG575" s="134"/>
      <c r="AH575" s="134"/>
    </row>
    <row r="576" ht="22.5" customHeight="1" spans="1:34">
      <c r="A576" s="135"/>
      <c r="B576" s="136"/>
      <c r="C576" s="137"/>
      <c r="D576" s="136"/>
      <c r="E576" s="136"/>
      <c r="F576" s="136"/>
      <c r="G576" s="136"/>
      <c r="H576" s="138"/>
      <c r="I576" s="136"/>
      <c r="J576" s="136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39"/>
      <c r="AA576" s="139"/>
      <c r="AB576" s="139"/>
      <c r="AC576" s="139"/>
      <c r="AD576" s="139"/>
      <c r="AE576" s="139"/>
      <c r="AF576" s="139"/>
      <c r="AG576" s="139"/>
      <c r="AH576" s="139"/>
    </row>
    <row r="577" ht="22.5" customHeight="1" spans="1:34">
      <c r="A577" s="130"/>
      <c r="B577" s="131"/>
      <c r="C577" s="132"/>
      <c r="D577" s="131"/>
      <c r="E577" s="131"/>
      <c r="F577" s="131"/>
      <c r="G577" s="131"/>
      <c r="H577" s="133"/>
      <c r="I577" s="131"/>
      <c r="J577" s="131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  <c r="AA577" s="134"/>
      <c r="AB577" s="134"/>
      <c r="AC577" s="134"/>
      <c r="AD577" s="134"/>
      <c r="AE577" s="134"/>
      <c r="AF577" s="134"/>
      <c r="AG577" s="134"/>
      <c r="AH577" s="134"/>
    </row>
    <row r="578" ht="22.5" customHeight="1" spans="1:34">
      <c r="A578" s="135"/>
      <c r="B578" s="136"/>
      <c r="C578" s="137"/>
      <c r="D578" s="136"/>
      <c r="E578" s="136"/>
      <c r="F578" s="136"/>
      <c r="G578" s="136"/>
      <c r="H578" s="138"/>
      <c r="I578" s="136"/>
      <c r="J578" s="136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39"/>
      <c r="AA578" s="139"/>
      <c r="AB578" s="139"/>
      <c r="AC578" s="139"/>
      <c r="AD578" s="139"/>
      <c r="AE578" s="139"/>
      <c r="AF578" s="139"/>
      <c r="AG578" s="139"/>
      <c r="AH578" s="139"/>
    </row>
    <row r="579" ht="22.5" customHeight="1" spans="1:34">
      <c r="A579" s="130"/>
      <c r="B579" s="131"/>
      <c r="C579" s="132"/>
      <c r="D579" s="131"/>
      <c r="E579" s="131"/>
      <c r="F579" s="131"/>
      <c r="G579" s="131"/>
      <c r="H579" s="133"/>
      <c r="I579" s="131"/>
      <c r="J579" s="131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  <c r="AA579" s="134"/>
      <c r="AB579" s="134"/>
      <c r="AC579" s="134"/>
      <c r="AD579" s="134"/>
      <c r="AE579" s="134"/>
      <c r="AF579" s="134"/>
      <c r="AG579" s="134"/>
      <c r="AH579" s="134"/>
    </row>
    <row r="580" ht="22.5" customHeight="1" spans="1:34">
      <c r="A580" s="135"/>
      <c r="B580" s="136"/>
      <c r="C580" s="137"/>
      <c r="D580" s="136"/>
      <c r="E580" s="136"/>
      <c r="F580" s="136"/>
      <c r="G580" s="136"/>
      <c r="H580" s="138"/>
      <c r="I580" s="136"/>
      <c r="J580" s="136"/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39"/>
      <c r="AA580" s="139"/>
      <c r="AB580" s="139"/>
      <c r="AC580" s="139"/>
      <c r="AD580" s="139"/>
      <c r="AE580" s="139"/>
      <c r="AF580" s="139"/>
      <c r="AG580" s="139"/>
      <c r="AH580" s="139"/>
    </row>
    <row r="581" ht="22.5" customHeight="1" spans="1:34">
      <c r="A581" s="130"/>
      <c r="B581" s="131"/>
      <c r="C581" s="132"/>
      <c r="D581" s="131"/>
      <c r="E581" s="131"/>
      <c r="F581" s="131"/>
      <c r="G581" s="131"/>
      <c r="H581" s="133"/>
      <c r="I581" s="131"/>
      <c r="J581" s="131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  <c r="AA581" s="134"/>
      <c r="AB581" s="134"/>
      <c r="AC581" s="134"/>
      <c r="AD581" s="134"/>
      <c r="AE581" s="134"/>
      <c r="AF581" s="134"/>
      <c r="AG581" s="134"/>
      <c r="AH581" s="134"/>
    </row>
    <row r="582" ht="22.5" customHeight="1" spans="1:34">
      <c r="A582" s="135"/>
      <c r="B582" s="136"/>
      <c r="C582" s="137"/>
      <c r="D582" s="136"/>
      <c r="E582" s="136"/>
      <c r="F582" s="136"/>
      <c r="G582" s="136"/>
      <c r="H582" s="138"/>
      <c r="I582" s="136"/>
      <c r="J582" s="136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39"/>
      <c r="AA582" s="139"/>
      <c r="AB582" s="139"/>
      <c r="AC582" s="139"/>
      <c r="AD582" s="139"/>
      <c r="AE582" s="139"/>
      <c r="AF582" s="139"/>
      <c r="AG582" s="139"/>
      <c r="AH582" s="139"/>
    </row>
    <row r="583" ht="22.5" customHeight="1" spans="1:34">
      <c r="A583" s="130"/>
      <c r="B583" s="131"/>
      <c r="C583" s="132"/>
      <c r="D583" s="131"/>
      <c r="E583" s="131"/>
      <c r="F583" s="131"/>
      <c r="G583" s="131"/>
      <c r="H583" s="133"/>
      <c r="I583" s="131"/>
      <c r="J583" s="131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  <c r="AA583" s="134"/>
      <c r="AB583" s="134"/>
      <c r="AC583" s="134"/>
      <c r="AD583" s="134"/>
      <c r="AE583" s="134"/>
      <c r="AF583" s="134"/>
      <c r="AG583" s="134"/>
      <c r="AH583" s="134"/>
    </row>
    <row r="584" ht="22.5" customHeight="1" spans="1:34">
      <c r="A584" s="135"/>
      <c r="B584" s="136"/>
      <c r="C584" s="137"/>
      <c r="D584" s="136"/>
      <c r="E584" s="136"/>
      <c r="F584" s="136"/>
      <c r="G584" s="136"/>
      <c r="H584" s="138"/>
      <c r="I584" s="136"/>
      <c r="J584" s="136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39"/>
      <c r="AA584" s="139"/>
      <c r="AB584" s="139"/>
      <c r="AC584" s="139"/>
      <c r="AD584" s="139"/>
      <c r="AE584" s="139"/>
      <c r="AF584" s="139"/>
      <c r="AG584" s="139"/>
      <c r="AH584" s="139"/>
    </row>
    <row r="585" ht="22.5" customHeight="1" spans="1:34">
      <c r="A585" s="130"/>
      <c r="B585" s="131"/>
      <c r="C585" s="132"/>
      <c r="D585" s="131"/>
      <c r="E585" s="131"/>
      <c r="F585" s="131"/>
      <c r="G585" s="131"/>
      <c r="H585" s="133"/>
      <c r="I585" s="131"/>
      <c r="J585" s="131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  <c r="AA585" s="134"/>
      <c r="AB585" s="134"/>
      <c r="AC585" s="134"/>
      <c r="AD585" s="134"/>
      <c r="AE585" s="134"/>
      <c r="AF585" s="134"/>
      <c r="AG585" s="134"/>
      <c r="AH585" s="134"/>
    </row>
    <row r="586" ht="22.5" customHeight="1" spans="1:34">
      <c r="A586" s="135"/>
      <c r="B586" s="136"/>
      <c r="C586" s="137"/>
      <c r="D586" s="136"/>
      <c r="E586" s="136"/>
      <c r="F586" s="136"/>
      <c r="G586" s="136"/>
      <c r="H586" s="138"/>
      <c r="I586" s="136"/>
      <c r="J586" s="136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39"/>
      <c r="AA586" s="139"/>
      <c r="AB586" s="139"/>
      <c r="AC586" s="139"/>
      <c r="AD586" s="139"/>
      <c r="AE586" s="139"/>
      <c r="AF586" s="139"/>
      <c r="AG586" s="139"/>
      <c r="AH586" s="139"/>
    </row>
    <row r="587" ht="22.5" customHeight="1" spans="1:34">
      <c r="A587" s="130"/>
      <c r="B587" s="131"/>
      <c r="C587" s="132"/>
      <c r="D587" s="131"/>
      <c r="E587" s="131"/>
      <c r="F587" s="131"/>
      <c r="G587" s="131"/>
      <c r="H587" s="133"/>
      <c r="I587" s="131"/>
      <c r="J587" s="131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  <c r="AA587" s="134"/>
      <c r="AB587" s="134"/>
      <c r="AC587" s="134"/>
      <c r="AD587" s="134"/>
      <c r="AE587" s="134"/>
      <c r="AF587" s="134"/>
      <c r="AG587" s="134"/>
      <c r="AH587" s="134"/>
    </row>
    <row r="588" ht="22.5" customHeight="1" spans="1:34">
      <c r="A588" s="135"/>
      <c r="B588" s="136"/>
      <c r="C588" s="137"/>
      <c r="D588" s="136"/>
      <c r="E588" s="136"/>
      <c r="F588" s="136"/>
      <c r="G588" s="136"/>
      <c r="H588" s="138"/>
      <c r="I588" s="136"/>
      <c r="J588" s="136"/>
      <c r="K588" s="139"/>
      <c r="L588" s="139"/>
      <c r="M588" s="139"/>
      <c r="N588" s="139"/>
      <c r="O588" s="139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39"/>
      <c r="AA588" s="139"/>
      <c r="AB588" s="139"/>
      <c r="AC588" s="139"/>
      <c r="AD588" s="139"/>
      <c r="AE588" s="139"/>
      <c r="AF588" s="139"/>
      <c r="AG588" s="139"/>
      <c r="AH588" s="139"/>
    </row>
    <row r="589" ht="22.5" customHeight="1" spans="1:34">
      <c r="A589" s="130"/>
      <c r="B589" s="131"/>
      <c r="C589" s="132"/>
      <c r="D589" s="131"/>
      <c r="E589" s="131"/>
      <c r="F589" s="131"/>
      <c r="G589" s="131"/>
      <c r="H589" s="133"/>
      <c r="I589" s="131"/>
      <c r="J589" s="131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  <c r="AA589" s="134"/>
      <c r="AB589" s="134"/>
      <c r="AC589" s="134"/>
      <c r="AD589" s="134"/>
      <c r="AE589" s="134"/>
      <c r="AF589" s="134"/>
      <c r="AG589" s="134"/>
      <c r="AH589" s="134"/>
    </row>
    <row r="590" ht="22.5" customHeight="1" spans="1:34">
      <c r="A590" s="135"/>
      <c r="B590" s="136"/>
      <c r="C590" s="137"/>
      <c r="D590" s="136"/>
      <c r="E590" s="136"/>
      <c r="F590" s="136"/>
      <c r="G590" s="136"/>
      <c r="H590" s="138"/>
      <c r="I590" s="136"/>
      <c r="J590" s="136"/>
      <c r="K590" s="139"/>
      <c r="L590" s="139"/>
      <c r="M590" s="139"/>
      <c r="N590" s="139"/>
      <c r="O590" s="139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39"/>
      <c r="AA590" s="139"/>
      <c r="AB590" s="139"/>
      <c r="AC590" s="139"/>
      <c r="AD590" s="139"/>
      <c r="AE590" s="139"/>
      <c r="AF590" s="139"/>
      <c r="AG590" s="139"/>
      <c r="AH590" s="139"/>
    </row>
    <row r="591" ht="22.5" customHeight="1" spans="1:34">
      <c r="A591" s="130"/>
      <c r="B591" s="131"/>
      <c r="C591" s="132"/>
      <c r="D591" s="131"/>
      <c r="E591" s="131"/>
      <c r="F591" s="131"/>
      <c r="G591" s="131"/>
      <c r="H591" s="133"/>
      <c r="I591" s="131"/>
      <c r="J591" s="131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  <c r="AA591" s="134"/>
      <c r="AB591" s="134"/>
      <c r="AC591" s="134"/>
      <c r="AD591" s="134"/>
      <c r="AE591" s="134"/>
      <c r="AF591" s="134"/>
      <c r="AG591" s="134"/>
      <c r="AH591" s="134"/>
    </row>
    <row r="592" ht="22.5" customHeight="1" spans="1:34">
      <c r="A592" s="135"/>
      <c r="B592" s="136"/>
      <c r="C592" s="137"/>
      <c r="D592" s="136"/>
      <c r="E592" s="136"/>
      <c r="F592" s="136"/>
      <c r="G592" s="136"/>
      <c r="H592" s="138"/>
      <c r="I592" s="136"/>
      <c r="J592" s="136"/>
      <c r="K592" s="139"/>
      <c r="L592" s="139"/>
      <c r="M592" s="139"/>
      <c r="N592" s="139"/>
      <c r="O592" s="139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39"/>
      <c r="AA592" s="139"/>
      <c r="AB592" s="139"/>
      <c r="AC592" s="139"/>
      <c r="AD592" s="139"/>
      <c r="AE592" s="139"/>
      <c r="AF592" s="139"/>
      <c r="AG592" s="139"/>
      <c r="AH592" s="139"/>
    </row>
    <row r="593" ht="22.5" customHeight="1" spans="1:34">
      <c r="A593" s="130"/>
      <c r="B593" s="131"/>
      <c r="C593" s="132"/>
      <c r="D593" s="131"/>
      <c r="E593" s="131"/>
      <c r="F593" s="131"/>
      <c r="G593" s="131"/>
      <c r="H593" s="133"/>
      <c r="I593" s="131"/>
      <c r="J593" s="131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  <c r="AA593" s="134"/>
      <c r="AB593" s="134"/>
      <c r="AC593" s="134"/>
      <c r="AD593" s="134"/>
      <c r="AE593" s="134"/>
      <c r="AF593" s="134"/>
      <c r="AG593" s="134"/>
      <c r="AH593" s="134"/>
    </row>
    <row r="594" ht="22.5" customHeight="1" spans="1:34">
      <c r="A594" s="135"/>
      <c r="B594" s="136"/>
      <c r="C594" s="137"/>
      <c r="D594" s="136"/>
      <c r="E594" s="136"/>
      <c r="F594" s="136"/>
      <c r="G594" s="136"/>
      <c r="H594" s="138"/>
      <c r="I594" s="136"/>
      <c r="J594" s="136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39"/>
      <c r="AA594" s="139"/>
      <c r="AB594" s="139"/>
      <c r="AC594" s="139"/>
      <c r="AD594" s="139"/>
      <c r="AE594" s="139"/>
      <c r="AF594" s="139"/>
      <c r="AG594" s="139"/>
      <c r="AH594" s="139"/>
    </row>
    <row r="595" ht="22.5" customHeight="1" spans="1:34">
      <c r="A595" s="130"/>
      <c r="B595" s="131"/>
      <c r="C595" s="132"/>
      <c r="D595" s="131"/>
      <c r="E595" s="131"/>
      <c r="F595" s="131"/>
      <c r="G595" s="131"/>
      <c r="H595" s="133"/>
      <c r="I595" s="131"/>
      <c r="J595" s="131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  <c r="AA595" s="134"/>
      <c r="AB595" s="134"/>
      <c r="AC595" s="134"/>
      <c r="AD595" s="134"/>
      <c r="AE595" s="134"/>
      <c r="AF595" s="134"/>
      <c r="AG595" s="134"/>
      <c r="AH595" s="134"/>
    </row>
    <row r="596" ht="22.5" customHeight="1" spans="1:34">
      <c r="A596" s="135"/>
      <c r="B596" s="136"/>
      <c r="C596" s="137"/>
      <c r="D596" s="136"/>
      <c r="E596" s="136"/>
      <c r="F596" s="136"/>
      <c r="G596" s="136"/>
      <c r="H596" s="138"/>
      <c r="I596" s="136"/>
      <c r="J596" s="136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39"/>
      <c r="AA596" s="139"/>
      <c r="AB596" s="139"/>
      <c r="AC596" s="139"/>
      <c r="AD596" s="139"/>
      <c r="AE596" s="139"/>
      <c r="AF596" s="139"/>
      <c r="AG596" s="139"/>
      <c r="AH596" s="139"/>
    </row>
    <row r="597" ht="22.5" customHeight="1" spans="1:34">
      <c r="A597" s="130"/>
      <c r="B597" s="131"/>
      <c r="C597" s="132"/>
      <c r="D597" s="131"/>
      <c r="E597" s="131"/>
      <c r="F597" s="131"/>
      <c r="G597" s="131"/>
      <c r="H597" s="133"/>
      <c r="I597" s="131"/>
      <c r="J597" s="131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  <c r="AA597" s="134"/>
      <c r="AB597" s="134"/>
      <c r="AC597" s="134"/>
      <c r="AD597" s="134"/>
      <c r="AE597" s="134"/>
      <c r="AF597" s="134"/>
      <c r="AG597" s="134"/>
      <c r="AH597" s="134"/>
    </row>
    <row r="598" ht="22.5" customHeight="1" spans="1:34">
      <c r="A598" s="135"/>
      <c r="B598" s="136"/>
      <c r="C598" s="137"/>
      <c r="D598" s="136"/>
      <c r="E598" s="136"/>
      <c r="F598" s="136"/>
      <c r="G598" s="136"/>
      <c r="H598" s="138"/>
      <c r="I598" s="136"/>
      <c r="J598" s="136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  <c r="AA598" s="139"/>
      <c r="AB598" s="139"/>
      <c r="AC598" s="139"/>
      <c r="AD598" s="139"/>
      <c r="AE598" s="139"/>
      <c r="AF598" s="139"/>
      <c r="AG598" s="139"/>
      <c r="AH598" s="139"/>
    </row>
    <row r="599" ht="22.5" customHeight="1" spans="1:34">
      <c r="A599" s="130"/>
      <c r="B599" s="131"/>
      <c r="C599" s="132"/>
      <c r="D599" s="131"/>
      <c r="E599" s="131"/>
      <c r="F599" s="131"/>
      <c r="G599" s="131"/>
      <c r="H599" s="133"/>
      <c r="I599" s="131"/>
      <c r="J599" s="131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  <c r="AA599" s="134"/>
      <c r="AB599" s="134"/>
      <c r="AC599" s="134"/>
      <c r="AD599" s="134"/>
      <c r="AE599" s="134"/>
      <c r="AF599" s="134"/>
      <c r="AG599" s="134"/>
      <c r="AH599" s="134"/>
    </row>
    <row r="600" ht="22.5" customHeight="1" spans="1:34">
      <c r="A600" s="135"/>
      <c r="B600" s="136"/>
      <c r="C600" s="137"/>
      <c r="D600" s="136"/>
      <c r="E600" s="136"/>
      <c r="F600" s="136"/>
      <c r="G600" s="136"/>
      <c r="H600" s="138"/>
      <c r="I600" s="136"/>
      <c r="J600" s="136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39"/>
      <c r="AA600" s="139"/>
      <c r="AB600" s="139"/>
      <c r="AC600" s="139"/>
      <c r="AD600" s="139"/>
      <c r="AE600" s="139"/>
      <c r="AF600" s="139"/>
      <c r="AG600" s="139"/>
      <c r="AH600" s="139"/>
    </row>
    <row r="601" ht="22.5" customHeight="1" spans="1:34">
      <c r="A601" s="130"/>
      <c r="B601" s="131"/>
      <c r="C601" s="132"/>
      <c r="D601" s="131"/>
      <c r="E601" s="131"/>
      <c r="F601" s="131"/>
      <c r="G601" s="131"/>
      <c r="H601" s="133"/>
      <c r="I601" s="131"/>
      <c r="J601" s="131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4"/>
      <c r="AC601" s="134"/>
      <c r="AD601" s="134"/>
      <c r="AE601" s="134"/>
      <c r="AF601" s="134"/>
      <c r="AG601" s="134"/>
      <c r="AH601" s="134"/>
    </row>
    <row r="602" ht="22.5" customHeight="1" spans="1:34">
      <c r="A602" s="135"/>
      <c r="B602" s="136"/>
      <c r="C602" s="137"/>
      <c r="D602" s="136"/>
      <c r="E602" s="136"/>
      <c r="F602" s="136"/>
      <c r="G602" s="136"/>
      <c r="H602" s="138"/>
      <c r="I602" s="136"/>
      <c r="J602" s="136"/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39"/>
      <c r="AA602" s="139"/>
      <c r="AB602" s="139"/>
      <c r="AC602" s="139"/>
      <c r="AD602" s="139"/>
      <c r="AE602" s="139"/>
      <c r="AF602" s="139"/>
      <c r="AG602" s="139"/>
      <c r="AH602" s="139"/>
    </row>
    <row r="603" ht="22.5" customHeight="1" spans="1:34">
      <c r="A603" s="130"/>
      <c r="B603" s="131"/>
      <c r="C603" s="132"/>
      <c r="D603" s="131"/>
      <c r="E603" s="131"/>
      <c r="F603" s="131"/>
      <c r="G603" s="131"/>
      <c r="H603" s="133"/>
      <c r="I603" s="131"/>
      <c r="J603" s="131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4"/>
      <c r="AC603" s="134"/>
      <c r="AD603" s="134"/>
      <c r="AE603" s="134"/>
      <c r="AF603" s="134"/>
      <c r="AG603" s="134"/>
      <c r="AH603" s="134"/>
    </row>
    <row r="604" ht="22.5" customHeight="1" spans="1:34">
      <c r="A604" s="135"/>
      <c r="B604" s="136"/>
      <c r="C604" s="137"/>
      <c r="D604" s="136"/>
      <c r="E604" s="136"/>
      <c r="F604" s="136"/>
      <c r="G604" s="136"/>
      <c r="H604" s="138"/>
      <c r="I604" s="136"/>
      <c r="J604" s="136"/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39"/>
      <c r="AA604" s="139"/>
      <c r="AB604" s="139"/>
      <c r="AC604" s="139"/>
      <c r="AD604" s="139"/>
      <c r="AE604" s="139"/>
      <c r="AF604" s="139"/>
      <c r="AG604" s="139"/>
      <c r="AH604" s="139"/>
    </row>
    <row r="605" ht="22.5" customHeight="1" spans="1:34">
      <c r="A605" s="130"/>
      <c r="B605" s="131"/>
      <c r="C605" s="132"/>
      <c r="D605" s="131"/>
      <c r="E605" s="131"/>
      <c r="F605" s="131"/>
      <c r="G605" s="131"/>
      <c r="H605" s="133"/>
      <c r="I605" s="131"/>
      <c r="J605" s="131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4"/>
      <c r="AC605" s="134"/>
      <c r="AD605" s="134"/>
      <c r="AE605" s="134"/>
      <c r="AF605" s="134"/>
      <c r="AG605" s="134"/>
      <c r="AH605" s="134"/>
    </row>
    <row r="606" ht="22.5" customHeight="1" spans="1:34">
      <c r="A606" s="135"/>
      <c r="B606" s="136"/>
      <c r="C606" s="137"/>
      <c r="D606" s="136"/>
      <c r="E606" s="136"/>
      <c r="F606" s="136"/>
      <c r="G606" s="136"/>
      <c r="H606" s="138"/>
      <c r="I606" s="136"/>
      <c r="J606" s="136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  <c r="AA606" s="139"/>
      <c r="AB606" s="139"/>
      <c r="AC606" s="139"/>
      <c r="AD606" s="139"/>
      <c r="AE606" s="139"/>
      <c r="AF606" s="139"/>
      <c r="AG606" s="139"/>
      <c r="AH606" s="139"/>
    </row>
    <row r="607" ht="22.5" customHeight="1" spans="1:34">
      <c r="A607" s="130"/>
      <c r="B607" s="131"/>
      <c r="C607" s="132"/>
      <c r="D607" s="131"/>
      <c r="E607" s="131"/>
      <c r="F607" s="131"/>
      <c r="G607" s="131"/>
      <c r="H607" s="133"/>
      <c r="I607" s="131"/>
      <c r="J607" s="131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  <c r="AA607" s="134"/>
      <c r="AB607" s="134"/>
      <c r="AC607" s="134"/>
      <c r="AD607" s="134"/>
      <c r="AE607" s="134"/>
      <c r="AF607" s="134"/>
      <c r="AG607" s="134"/>
      <c r="AH607" s="134"/>
    </row>
    <row r="608" ht="22.5" customHeight="1" spans="1:34">
      <c r="A608" s="135"/>
      <c r="B608" s="136"/>
      <c r="C608" s="137"/>
      <c r="D608" s="136"/>
      <c r="E608" s="136"/>
      <c r="F608" s="136"/>
      <c r="G608" s="136"/>
      <c r="H608" s="138"/>
      <c r="I608" s="136"/>
      <c r="J608" s="136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39"/>
      <c r="AA608" s="139"/>
      <c r="AB608" s="139"/>
      <c r="AC608" s="139"/>
      <c r="AD608" s="139"/>
      <c r="AE608" s="139"/>
      <c r="AF608" s="139"/>
      <c r="AG608" s="139"/>
      <c r="AH608" s="139"/>
    </row>
    <row r="609" ht="22.5" customHeight="1" spans="1:34">
      <c r="A609" s="130"/>
      <c r="B609" s="131"/>
      <c r="C609" s="132"/>
      <c r="D609" s="131"/>
      <c r="E609" s="131"/>
      <c r="F609" s="131"/>
      <c r="G609" s="131"/>
      <c r="H609" s="133"/>
      <c r="I609" s="131"/>
      <c r="J609" s="131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  <c r="AA609" s="134"/>
      <c r="AB609" s="134"/>
      <c r="AC609" s="134"/>
      <c r="AD609" s="134"/>
      <c r="AE609" s="134"/>
      <c r="AF609" s="134"/>
      <c r="AG609" s="134"/>
      <c r="AH609" s="134"/>
    </row>
    <row r="610" ht="22.5" customHeight="1" spans="1:34">
      <c r="A610" s="135"/>
      <c r="B610" s="136"/>
      <c r="C610" s="137"/>
      <c r="D610" s="136"/>
      <c r="E610" s="136"/>
      <c r="F610" s="136"/>
      <c r="G610" s="136"/>
      <c r="H610" s="138"/>
      <c r="I610" s="136"/>
      <c r="J610" s="136"/>
      <c r="K610" s="139"/>
      <c r="L610" s="139"/>
      <c r="M610" s="139"/>
      <c r="N610" s="139"/>
      <c r="O610" s="139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39"/>
      <c r="AA610" s="139"/>
      <c r="AB610" s="139"/>
      <c r="AC610" s="139"/>
      <c r="AD610" s="139"/>
      <c r="AE610" s="139"/>
      <c r="AF610" s="139"/>
      <c r="AG610" s="139"/>
      <c r="AH610" s="139"/>
    </row>
    <row r="611" ht="22.5" customHeight="1" spans="1:34">
      <c r="A611" s="130"/>
      <c r="B611" s="131"/>
      <c r="C611" s="132"/>
      <c r="D611" s="131"/>
      <c r="E611" s="131"/>
      <c r="F611" s="131"/>
      <c r="G611" s="131"/>
      <c r="H611" s="133"/>
      <c r="I611" s="131"/>
      <c r="J611" s="131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  <c r="AA611" s="134"/>
      <c r="AB611" s="134"/>
      <c r="AC611" s="134"/>
      <c r="AD611" s="134"/>
      <c r="AE611" s="134"/>
      <c r="AF611" s="134"/>
      <c r="AG611" s="134"/>
      <c r="AH611" s="134"/>
    </row>
    <row r="612" ht="22.5" customHeight="1" spans="1:34">
      <c r="A612" s="135"/>
      <c r="B612" s="136"/>
      <c r="C612" s="137"/>
      <c r="D612" s="136"/>
      <c r="E612" s="136"/>
      <c r="F612" s="136"/>
      <c r="G612" s="136"/>
      <c r="H612" s="138"/>
      <c r="I612" s="136"/>
      <c r="J612" s="136"/>
      <c r="K612" s="139"/>
      <c r="L612" s="139"/>
      <c r="M612" s="139"/>
      <c r="N612" s="139"/>
      <c r="O612" s="139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39"/>
      <c r="AA612" s="139"/>
      <c r="AB612" s="139"/>
      <c r="AC612" s="139"/>
      <c r="AD612" s="139"/>
      <c r="AE612" s="139"/>
      <c r="AF612" s="139"/>
      <c r="AG612" s="139"/>
      <c r="AH612" s="139"/>
    </row>
    <row r="613" ht="22.5" customHeight="1" spans="1:34">
      <c r="A613" s="130"/>
      <c r="B613" s="131"/>
      <c r="C613" s="132"/>
      <c r="D613" s="131"/>
      <c r="E613" s="131"/>
      <c r="F613" s="131"/>
      <c r="G613" s="131"/>
      <c r="H613" s="133"/>
      <c r="I613" s="131"/>
      <c r="J613" s="131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4"/>
      <c r="AC613" s="134"/>
      <c r="AD613" s="134"/>
      <c r="AE613" s="134"/>
      <c r="AF613" s="134"/>
      <c r="AG613" s="134"/>
      <c r="AH613" s="134"/>
    </row>
    <row r="614" ht="22.5" customHeight="1" spans="1:34">
      <c r="A614" s="135"/>
      <c r="B614" s="136"/>
      <c r="C614" s="137"/>
      <c r="D614" s="136"/>
      <c r="E614" s="136"/>
      <c r="F614" s="136"/>
      <c r="G614" s="136"/>
      <c r="H614" s="138"/>
      <c r="I614" s="136"/>
      <c r="J614" s="136"/>
      <c r="K614" s="139"/>
      <c r="L614" s="139"/>
      <c r="M614" s="139"/>
      <c r="N614" s="139"/>
      <c r="O614" s="139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39"/>
      <c r="AA614" s="139"/>
      <c r="AB614" s="139"/>
      <c r="AC614" s="139"/>
      <c r="AD614" s="139"/>
      <c r="AE614" s="139"/>
      <c r="AF614" s="139"/>
      <c r="AG614" s="139"/>
      <c r="AH614" s="139"/>
    </row>
    <row r="615" ht="22.5" customHeight="1" spans="1:34">
      <c r="A615" s="130"/>
      <c r="B615" s="131"/>
      <c r="C615" s="132"/>
      <c r="D615" s="131"/>
      <c r="E615" s="131"/>
      <c r="F615" s="131"/>
      <c r="G615" s="131"/>
      <c r="H615" s="133"/>
      <c r="I615" s="131"/>
      <c r="J615" s="131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  <c r="AA615" s="134"/>
      <c r="AB615" s="134"/>
      <c r="AC615" s="134"/>
      <c r="AD615" s="134"/>
      <c r="AE615" s="134"/>
      <c r="AF615" s="134"/>
      <c r="AG615" s="134"/>
      <c r="AH615" s="134"/>
    </row>
    <row r="616" ht="22.5" customHeight="1" spans="1:34">
      <c r="A616" s="135"/>
      <c r="B616" s="136"/>
      <c r="C616" s="137"/>
      <c r="D616" s="136"/>
      <c r="E616" s="136"/>
      <c r="F616" s="136"/>
      <c r="G616" s="136"/>
      <c r="H616" s="138"/>
      <c r="I616" s="136"/>
      <c r="J616" s="136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39"/>
      <c r="AA616" s="139"/>
      <c r="AB616" s="139"/>
      <c r="AC616" s="139"/>
      <c r="AD616" s="139"/>
      <c r="AE616" s="139"/>
      <c r="AF616" s="139"/>
      <c r="AG616" s="139"/>
      <c r="AH616" s="139"/>
    </row>
    <row r="617" ht="22.5" customHeight="1" spans="1:34">
      <c r="A617" s="130"/>
      <c r="B617" s="131"/>
      <c r="C617" s="132"/>
      <c r="D617" s="131"/>
      <c r="E617" s="131"/>
      <c r="F617" s="131"/>
      <c r="G617" s="131"/>
      <c r="H617" s="133"/>
      <c r="I617" s="131"/>
      <c r="J617" s="131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  <c r="AA617" s="134"/>
      <c r="AB617" s="134"/>
      <c r="AC617" s="134"/>
      <c r="AD617" s="134"/>
      <c r="AE617" s="134"/>
      <c r="AF617" s="134"/>
      <c r="AG617" s="134"/>
      <c r="AH617" s="134"/>
    </row>
    <row r="618" ht="22.5" customHeight="1" spans="1:34">
      <c r="A618" s="135"/>
      <c r="B618" s="136"/>
      <c r="C618" s="137"/>
      <c r="D618" s="136"/>
      <c r="E618" s="136"/>
      <c r="F618" s="136"/>
      <c r="G618" s="136"/>
      <c r="H618" s="138"/>
      <c r="I618" s="136"/>
      <c r="J618" s="136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39"/>
      <c r="AA618" s="139"/>
      <c r="AB618" s="139"/>
      <c r="AC618" s="139"/>
      <c r="AD618" s="139"/>
      <c r="AE618" s="139"/>
      <c r="AF618" s="139"/>
      <c r="AG618" s="139"/>
      <c r="AH618" s="139"/>
    </row>
    <row r="619" ht="22.5" customHeight="1" spans="1:34">
      <c r="A619" s="130"/>
      <c r="B619" s="131"/>
      <c r="C619" s="132"/>
      <c r="D619" s="131"/>
      <c r="E619" s="131"/>
      <c r="F619" s="131"/>
      <c r="G619" s="131"/>
      <c r="H619" s="133"/>
      <c r="I619" s="131"/>
      <c r="J619" s="131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  <c r="AA619" s="134"/>
      <c r="AB619" s="134"/>
      <c r="AC619" s="134"/>
      <c r="AD619" s="134"/>
      <c r="AE619" s="134"/>
      <c r="AF619" s="134"/>
      <c r="AG619" s="134"/>
      <c r="AH619" s="134"/>
    </row>
    <row r="620" ht="22.5" customHeight="1" spans="1:34">
      <c r="A620" s="135"/>
      <c r="B620" s="136"/>
      <c r="C620" s="137"/>
      <c r="D620" s="136"/>
      <c r="E620" s="136"/>
      <c r="F620" s="136"/>
      <c r="G620" s="136"/>
      <c r="H620" s="138"/>
      <c r="I620" s="136"/>
      <c r="J620" s="136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  <c r="AA620" s="139"/>
      <c r="AB620" s="139"/>
      <c r="AC620" s="139"/>
      <c r="AD620" s="139"/>
      <c r="AE620" s="139"/>
      <c r="AF620" s="139"/>
      <c r="AG620" s="139"/>
      <c r="AH620" s="139"/>
    </row>
    <row r="621" ht="22.5" customHeight="1" spans="1:34">
      <c r="A621" s="130"/>
      <c r="B621" s="131"/>
      <c r="C621" s="132"/>
      <c r="D621" s="131"/>
      <c r="E621" s="131"/>
      <c r="F621" s="131"/>
      <c r="G621" s="131"/>
      <c r="H621" s="133"/>
      <c r="I621" s="131"/>
      <c r="J621" s="131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  <c r="AA621" s="134"/>
      <c r="AB621" s="134"/>
      <c r="AC621" s="134"/>
      <c r="AD621" s="134"/>
      <c r="AE621" s="134"/>
      <c r="AF621" s="134"/>
      <c r="AG621" s="134"/>
      <c r="AH621" s="134"/>
    </row>
    <row r="622" ht="22.5" customHeight="1" spans="1:34">
      <c r="A622" s="135"/>
      <c r="B622" s="136"/>
      <c r="C622" s="137"/>
      <c r="D622" s="136"/>
      <c r="E622" s="136"/>
      <c r="F622" s="136"/>
      <c r="G622" s="136"/>
      <c r="H622" s="138"/>
      <c r="I622" s="136"/>
      <c r="J622" s="136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39"/>
      <c r="AA622" s="139"/>
      <c r="AB622" s="139"/>
      <c r="AC622" s="139"/>
      <c r="AD622" s="139"/>
      <c r="AE622" s="139"/>
      <c r="AF622" s="139"/>
      <c r="AG622" s="139"/>
      <c r="AH622" s="139"/>
    </row>
    <row r="623" ht="22.5" customHeight="1" spans="1:34">
      <c r="A623" s="130"/>
      <c r="B623" s="131"/>
      <c r="C623" s="132"/>
      <c r="D623" s="131"/>
      <c r="E623" s="131"/>
      <c r="F623" s="131"/>
      <c r="G623" s="131"/>
      <c r="H623" s="133"/>
      <c r="I623" s="131"/>
      <c r="J623" s="131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  <c r="AA623" s="134"/>
      <c r="AB623" s="134"/>
      <c r="AC623" s="134"/>
      <c r="AD623" s="134"/>
      <c r="AE623" s="134"/>
      <c r="AF623" s="134"/>
      <c r="AG623" s="134"/>
      <c r="AH623" s="134"/>
    </row>
    <row r="624" ht="22.5" customHeight="1" spans="1:34">
      <c r="A624" s="135"/>
      <c r="B624" s="136"/>
      <c r="C624" s="137"/>
      <c r="D624" s="136"/>
      <c r="E624" s="136"/>
      <c r="F624" s="136"/>
      <c r="G624" s="136"/>
      <c r="H624" s="138"/>
      <c r="I624" s="136"/>
      <c r="J624" s="136"/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39"/>
      <c r="AA624" s="139"/>
      <c r="AB624" s="139"/>
      <c r="AC624" s="139"/>
      <c r="AD624" s="139"/>
      <c r="AE624" s="139"/>
      <c r="AF624" s="139"/>
      <c r="AG624" s="139"/>
      <c r="AH624" s="139"/>
    </row>
    <row r="625" ht="22.5" customHeight="1" spans="1:34">
      <c r="A625" s="130"/>
      <c r="B625" s="131"/>
      <c r="C625" s="132"/>
      <c r="D625" s="131"/>
      <c r="E625" s="131"/>
      <c r="F625" s="131"/>
      <c r="G625" s="131"/>
      <c r="H625" s="133"/>
      <c r="I625" s="131"/>
      <c r="J625" s="131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  <c r="AA625" s="134"/>
      <c r="AB625" s="134"/>
      <c r="AC625" s="134"/>
      <c r="AD625" s="134"/>
      <c r="AE625" s="134"/>
      <c r="AF625" s="134"/>
      <c r="AG625" s="134"/>
      <c r="AH625" s="134"/>
    </row>
    <row r="626" ht="22.5" customHeight="1" spans="1:34">
      <c r="A626" s="135"/>
      <c r="B626" s="136"/>
      <c r="C626" s="137"/>
      <c r="D626" s="136"/>
      <c r="E626" s="136"/>
      <c r="F626" s="136"/>
      <c r="G626" s="136"/>
      <c r="H626" s="138"/>
      <c r="I626" s="136"/>
      <c r="J626" s="136"/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39"/>
      <c r="AA626" s="139"/>
      <c r="AB626" s="139"/>
      <c r="AC626" s="139"/>
      <c r="AD626" s="139"/>
      <c r="AE626" s="139"/>
      <c r="AF626" s="139"/>
      <c r="AG626" s="139"/>
      <c r="AH626" s="139"/>
    </row>
    <row r="627" ht="22.5" customHeight="1" spans="1:34">
      <c r="A627" s="130"/>
      <c r="B627" s="131"/>
      <c r="C627" s="132"/>
      <c r="D627" s="131"/>
      <c r="E627" s="131"/>
      <c r="F627" s="131"/>
      <c r="G627" s="131"/>
      <c r="H627" s="133"/>
      <c r="I627" s="131"/>
      <c r="J627" s="131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  <c r="AA627" s="134"/>
      <c r="AB627" s="134"/>
      <c r="AC627" s="134"/>
      <c r="AD627" s="134"/>
      <c r="AE627" s="134"/>
      <c r="AF627" s="134"/>
      <c r="AG627" s="134"/>
      <c r="AH627" s="134"/>
    </row>
    <row r="628" ht="22.5" customHeight="1" spans="1:34">
      <c r="A628" s="135"/>
      <c r="B628" s="136"/>
      <c r="C628" s="137"/>
      <c r="D628" s="136"/>
      <c r="E628" s="136"/>
      <c r="F628" s="136"/>
      <c r="G628" s="136"/>
      <c r="H628" s="138"/>
      <c r="I628" s="136"/>
      <c r="J628" s="136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39"/>
      <c r="AA628" s="139"/>
      <c r="AB628" s="139"/>
      <c r="AC628" s="139"/>
      <c r="AD628" s="139"/>
      <c r="AE628" s="139"/>
      <c r="AF628" s="139"/>
      <c r="AG628" s="139"/>
      <c r="AH628" s="139"/>
    </row>
    <row r="629" ht="22.5" customHeight="1" spans="1:34">
      <c r="A629" s="130"/>
      <c r="B629" s="131"/>
      <c r="C629" s="132"/>
      <c r="D629" s="131"/>
      <c r="E629" s="131"/>
      <c r="F629" s="131"/>
      <c r="G629" s="131"/>
      <c r="H629" s="133"/>
      <c r="I629" s="131"/>
      <c r="J629" s="131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  <c r="AA629" s="134"/>
      <c r="AB629" s="134"/>
      <c r="AC629" s="134"/>
      <c r="AD629" s="134"/>
      <c r="AE629" s="134"/>
      <c r="AF629" s="134"/>
      <c r="AG629" s="134"/>
      <c r="AH629" s="134"/>
    </row>
    <row r="630" ht="22.5" customHeight="1" spans="1:34">
      <c r="A630" s="135"/>
      <c r="B630" s="136"/>
      <c r="C630" s="137"/>
      <c r="D630" s="136"/>
      <c r="E630" s="136"/>
      <c r="F630" s="136"/>
      <c r="G630" s="136"/>
      <c r="H630" s="138"/>
      <c r="I630" s="136"/>
      <c r="J630" s="136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39"/>
      <c r="AA630" s="139"/>
      <c r="AB630" s="139"/>
      <c r="AC630" s="139"/>
      <c r="AD630" s="139"/>
      <c r="AE630" s="139"/>
      <c r="AF630" s="139"/>
      <c r="AG630" s="139"/>
      <c r="AH630" s="139"/>
    </row>
    <row r="631" ht="22.5" customHeight="1" spans="1:34">
      <c r="A631" s="130"/>
      <c r="B631" s="131"/>
      <c r="C631" s="132"/>
      <c r="D631" s="131"/>
      <c r="E631" s="131"/>
      <c r="F631" s="131"/>
      <c r="G631" s="131"/>
      <c r="H631" s="133"/>
      <c r="I631" s="131"/>
      <c r="J631" s="131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  <c r="AA631" s="134"/>
      <c r="AB631" s="134"/>
      <c r="AC631" s="134"/>
      <c r="AD631" s="134"/>
      <c r="AE631" s="134"/>
      <c r="AF631" s="134"/>
      <c r="AG631" s="134"/>
      <c r="AH631" s="134"/>
    </row>
    <row r="632" ht="22.5" customHeight="1" spans="1:34">
      <c r="A632" s="135"/>
      <c r="B632" s="136"/>
      <c r="C632" s="137"/>
      <c r="D632" s="136"/>
      <c r="E632" s="136"/>
      <c r="F632" s="136"/>
      <c r="G632" s="136"/>
      <c r="H632" s="138"/>
      <c r="I632" s="136"/>
      <c r="J632" s="136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39"/>
      <c r="AA632" s="139"/>
      <c r="AB632" s="139"/>
      <c r="AC632" s="139"/>
      <c r="AD632" s="139"/>
      <c r="AE632" s="139"/>
      <c r="AF632" s="139"/>
      <c r="AG632" s="139"/>
      <c r="AH632" s="139"/>
    </row>
    <row r="633" ht="22.5" customHeight="1" spans="1:34">
      <c r="A633" s="130"/>
      <c r="B633" s="131"/>
      <c r="C633" s="132"/>
      <c r="D633" s="131"/>
      <c r="E633" s="131"/>
      <c r="F633" s="131"/>
      <c r="G633" s="131"/>
      <c r="H633" s="133"/>
      <c r="I633" s="131"/>
      <c r="J633" s="131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  <c r="AA633" s="134"/>
      <c r="AB633" s="134"/>
      <c r="AC633" s="134"/>
      <c r="AD633" s="134"/>
      <c r="AE633" s="134"/>
      <c r="AF633" s="134"/>
      <c r="AG633" s="134"/>
      <c r="AH633" s="134"/>
    </row>
    <row r="634" ht="22.5" customHeight="1" spans="1:34">
      <c r="A634" s="135"/>
      <c r="B634" s="136"/>
      <c r="C634" s="137"/>
      <c r="D634" s="136"/>
      <c r="E634" s="136"/>
      <c r="F634" s="136"/>
      <c r="G634" s="136"/>
      <c r="H634" s="138"/>
      <c r="I634" s="136"/>
      <c r="J634" s="136"/>
      <c r="K634" s="139"/>
      <c r="L634" s="139"/>
      <c r="M634" s="139"/>
      <c r="N634" s="139"/>
      <c r="O634" s="139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39"/>
      <c r="AA634" s="139"/>
      <c r="AB634" s="139"/>
      <c r="AC634" s="139"/>
      <c r="AD634" s="139"/>
      <c r="AE634" s="139"/>
      <c r="AF634" s="139"/>
      <c r="AG634" s="139"/>
      <c r="AH634" s="139"/>
    </row>
    <row r="635" ht="22.5" customHeight="1" spans="1:34">
      <c r="A635" s="130"/>
      <c r="B635" s="131"/>
      <c r="C635" s="132"/>
      <c r="D635" s="131"/>
      <c r="E635" s="131"/>
      <c r="F635" s="131"/>
      <c r="G635" s="131"/>
      <c r="H635" s="133"/>
      <c r="I635" s="131"/>
      <c r="J635" s="131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  <c r="AA635" s="134"/>
      <c r="AB635" s="134"/>
      <c r="AC635" s="134"/>
      <c r="AD635" s="134"/>
      <c r="AE635" s="134"/>
      <c r="AF635" s="134"/>
      <c r="AG635" s="134"/>
      <c r="AH635" s="134"/>
    </row>
    <row r="636" ht="22.5" customHeight="1" spans="1:34">
      <c r="A636" s="135"/>
      <c r="B636" s="136"/>
      <c r="C636" s="137"/>
      <c r="D636" s="136"/>
      <c r="E636" s="136"/>
      <c r="F636" s="136"/>
      <c r="G636" s="136"/>
      <c r="H636" s="138"/>
      <c r="I636" s="136"/>
      <c r="J636" s="136"/>
      <c r="K636" s="139"/>
      <c r="L636" s="139"/>
      <c r="M636" s="139"/>
      <c r="N636" s="139"/>
      <c r="O636" s="139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39"/>
      <c r="AA636" s="139"/>
      <c r="AB636" s="139"/>
      <c r="AC636" s="139"/>
      <c r="AD636" s="139"/>
      <c r="AE636" s="139"/>
      <c r="AF636" s="139"/>
      <c r="AG636" s="139"/>
      <c r="AH636" s="139"/>
    </row>
    <row r="637" ht="22.5" customHeight="1" spans="1:34">
      <c r="A637" s="130"/>
      <c r="B637" s="131"/>
      <c r="C637" s="132"/>
      <c r="D637" s="131"/>
      <c r="E637" s="131"/>
      <c r="F637" s="131"/>
      <c r="G637" s="131"/>
      <c r="H637" s="133"/>
      <c r="I637" s="131"/>
      <c r="J637" s="131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  <c r="AA637" s="134"/>
      <c r="AB637" s="134"/>
      <c r="AC637" s="134"/>
      <c r="AD637" s="134"/>
      <c r="AE637" s="134"/>
      <c r="AF637" s="134"/>
      <c r="AG637" s="134"/>
      <c r="AH637" s="134"/>
    </row>
    <row r="638" ht="22.5" customHeight="1" spans="1:34">
      <c r="A638" s="135"/>
      <c r="B638" s="136"/>
      <c r="C638" s="137"/>
      <c r="D638" s="136"/>
      <c r="E638" s="136"/>
      <c r="F638" s="136"/>
      <c r="G638" s="136"/>
      <c r="H638" s="138"/>
      <c r="I638" s="136"/>
      <c r="J638" s="136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39"/>
      <c r="AA638" s="139"/>
      <c r="AB638" s="139"/>
      <c r="AC638" s="139"/>
      <c r="AD638" s="139"/>
      <c r="AE638" s="139"/>
      <c r="AF638" s="139"/>
      <c r="AG638" s="139"/>
      <c r="AH638" s="139"/>
    </row>
    <row r="639" ht="22.5" customHeight="1" spans="1:34">
      <c r="A639" s="130"/>
      <c r="B639" s="131"/>
      <c r="C639" s="132"/>
      <c r="D639" s="131"/>
      <c r="E639" s="131"/>
      <c r="F639" s="131"/>
      <c r="G639" s="131"/>
      <c r="H639" s="133"/>
      <c r="I639" s="131"/>
      <c r="J639" s="131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  <c r="AA639" s="134"/>
      <c r="AB639" s="134"/>
      <c r="AC639" s="134"/>
      <c r="AD639" s="134"/>
      <c r="AE639" s="134"/>
      <c r="AF639" s="134"/>
      <c r="AG639" s="134"/>
      <c r="AH639" s="134"/>
    </row>
    <row r="640" ht="22.5" customHeight="1" spans="1:34">
      <c r="A640" s="135"/>
      <c r="B640" s="136"/>
      <c r="C640" s="137"/>
      <c r="D640" s="136"/>
      <c r="E640" s="136"/>
      <c r="F640" s="136"/>
      <c r="G640" s="136"/>
      <c r="H640" s="138"/>
      <c r="I640" s="136"/>
      <c r="J640" s="136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39"/>
      <c r="AA640" s="139"/>
      <c r="AB640" s="139"/>
      <c r="AC640" s="139"/>
      <c r="AD640" s="139"/>
      <c r="AE640" s="139"/>
      <c r="AF640" s="139"/>
      <c r="AG640" s="139"/>
      <c r="AH640" s="139"/>
    </row>
    <row r="641" ht="22.5" customHeight="1" spans="1:34">
      <c r="A641" s="130"/>
      <c r="B641" s="131"/>
      <c r="C641" s="132"/>
      <c r="D641" s="131"/>
      <c r="E641" s="131"/>
      <c r="F641" s="131"/>
      <c r="G641" s="131"/>
      <c r="H641" s="133"/>
      <c r="I641" s="131"/>
      <c r="J641" s="131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  <c r="AA641" s="134"/>
      <c r="AB641" s="134"/>
      <c r="AC641" s="134"/>
      <c r="AD641" s="134"/>
      <c r="AE641" s="134"/>
      <c r="AF641" s="134"/>
      <c r="AG641" s="134"/>
      <c r="AH641" s="134"/>
    </row>
    <row r="642" ht="22.5" customHeight="1" spans="1:34">
      <c r="A642" s="135"/>
      <c r="B642" s="136"/>
      <c r="C642" s="137"/>
      <c r="D642" s="136"/>
      <c r="E642" s="136"/>
      <c r="F642" s="136"/>
      <c r="G642" s="136"/>
      <c r="H642" s="138"/>
      <c r="I642" s="136"/>
      <c r="J642" s="136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39"/>
      <c r="AA642" s="139"/>
      <c r="AB642" s="139"/>
      <c r="AC642" s="139"/>
      <c r="AD642" s="139"/>
      <c r="AE642" s="139"/>
      <c r="AF642" s="139"/>
      <c r="AG642" s="139"/>
      <c r="AH642" s="139"/>
    </row>
    <row r="643" ht="22.5" customHeight="1" spans="1:34">
      <c r="A643" s="130"/>
      <c r="B643" s="131"/>
      <c r="C643" s="132"/>
      <c r="D643" s="131"/>
      <c r="E643" s="131"/>
      <c r="F643" s="131"/>
      <c r="G643" s="131"/>
      <c r="H643" s="133"/>
      <c r="I643" s="131"/>
      <c r="J643" s="131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  <c r="AA643" s="134"/>
      <c r="AB643" s="134"/>
      <c r="AC643" s="134"/>
      <c r="AD643" s="134"/>
      <c r="AE643" s="134"/>
      <c r="AF643" s="134"/>
      <c r="AG643" s="134"/>
      <c r="AH643" s="134"/>
    </row>
    <row r="644" ht="22.5" customHeight="1" spans="1:34">
      <c r="A644" s="135"/>
      <c r="B644" s="136"/>
      <c r="C644" s="137"/>
      <c r="D644" s="136"/>
      <c r="E644" s="136"/>
      <c r="F644" s="136"/>
      <c r="G644" s="136"/>
      <c r="H644" s="138"/>
      <c r="I644" s="136"/>
      <c r="J644" s="136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39"/>
      <c r="AA644" s="139"/>
      <c r="AB644" s="139"/>
      <c r="AC644" s="139"/>
      <c r="AD644" s="139"/>
      <c r="AE644" s="139"/>
      <c r="AF644" s="139"/>
      <c r="AG644" s="139"/>
      <c r="AH644" s="139"/>
    </row>
    <row r="645" ht="22.5" customHeight="1" spans="1:34">
      <c r="A645" s="130"/>
      <c r="B645" s="131"/>
      <c r="C645" s="132"/>
      <c r="D645" s="131"/>
      <c r="E645" s="131"/>
      <c r="F645" s="131"/>
      <c r="G645" s="131"/>
      <c r="H645" s="133"/>
      <c r="I645" s="131"/>
      <c r="J645" s="131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  <c r="AA645" s="134"/>
      <c r="AB645" s="134"/>
      <c r="AC645" s="134"/>
      <c r="AD645" s="134"/>
      <c r="AE645" s="134"/>
      <c r="AF645" s="134"/>
      <c r="AG645" s="134"/>
      <c r="AH645" s="134"/>
    </row>
    <row r="646" ht="22.5" customHeight="1" spans="1:34">
      <c r="A646" s="135"/>
      <c r="B646" s="136"/>
      <c r="C646" s="137"/>
      <c r="D646" s="136"/>
      <c r="E646" s="136"/>
      <c r="F646" s="136"/>
      <c r="G646" s="136"/>
      <c r="H646" s="138"/>
      <c r="I646" s="136"/>
      <c r="J646" s="136"/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39"/>
      <c r="AA646" s="139"/>
      <c r="AB646" s="139"/>
      <c r="AC646" s="139"/>
      <c r="AD646" s="139"/>
      <c r="AE646" s="139"/>
      <c r="AF646" s="139"/>
      <c r="AG646" s="139"/>
      <c r="AH646" s="139"/>
    </row>
    <row r="647" ht="22.5" customHeight="1" spans="1:34">
      <c r="A647" s="130"/>
      <c r="B647" s="131"/>
      <c r="C647" s="132"/>
      <c r="D647" s="131"/>
      <c r="E647" s="131"/>
      <c r="F647" s="131"/>
      <c r="G647" s="131"/>
      <c r="H647" s="133"/>
      <c r="I647" s="131"/>
      <c r="J647" s="131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  <c r="AA647" s="134"/>
      <c r="AB647" s="134"/>
      <c r="AC647" s="134"/>
      <c r="AD647" s="134"/>
      <c r="AE647" s="134"/>
      <c r="AF647" s="134"/>
      <c r="AG647" s="134"/>
      <c r="AH647" s="134"/>
    </row>
    <row r="648" ht="22.5" customHeight="1" spans="1:34">
      <c r="A648" s="135"/>
      <c r="B648" s="136"/>
      <c r="C648" s="137"/>
      <c r="D648" s="136"/>
      <c r="E648" s="136"/>
      <c r="F648" s="136"/>
      <c r="G648" s="136"/>
      <c r="H648" s="138"/>
      <c r="I648" s="136"/>
      <c r="J648" s="136"/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39"/>
      <c r="AA648" s="139"/>
      <c r="AB648" s="139"/>
      <c r="AC648" s="139"/>
      <c r="AD648" s="139"/>
      <c r="AE648" s="139"/>
      <c r="AF648" s="139"/>
      <c r="AG648" s="139"/>
      <c r="AH648" s="139"/>
    </row>
    <row r="649" ht="22.5" customHeight="1" spans="1:34">
      <c r="A649" s="130"/>
      <c r="B649" s="131"/>
      <c r="C649" s="132"/>
      <c r="D649" s="131"/>
      <c r="E649" s="131"/>
      <c r="F649" s="131"/>
      <c r="G649" s="131"/>
      <c r="H649" s="133"/>
      <c r="I649" s="131"/>
      <c r="J649" s="131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  <c r="AA649" s="134"/>
      <c r="AB649" s="134"/>
      <c r="AC649" s="134"/>
      <c r="AD649" s="134"/>
      <c r="AE649" s="134"/>
      <c r="AF649" s="134"/>
      <c r="AG649" s="134"/>
      <c r="AH649" s="134"/>
    </row>
    <row r="650" ht="22.5" customHeight="1" spans="1:34">
      <c r="A650" s="135"/>
      <c r="B650" s="136"/>
      <c r="C650" s="137"/>
      <c r="D650" s="136"/>
      <c r="E650" s="136"/>
      <c r="F650" s="136"/>
      <c r="G650" s="136"/>
      <c r="H650" s="138"/>
      <c r="I650" s="136"/>
      <c r="J650" s="136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39"/>
      <c r="AA650" s="139"/>
      <c r="AB650" s="139"/>
      <c r="AC650" s="139"/>
      <c r="AD650" s="139"/>
      <c r="AE650" s="139"/>
      <c r="AF650" s="139"/>
      <c r="AG650" s="139"/>
      <c r="AH650" s="139"/>
    </row>
    <row r="651" ht="22.5" customHeight="1" spans="1:34">
      <c r="A651" s="130"/>
      <c r="B651" s="131"/>
      <c r="C651" s="132"/>
      <c r="D651" s="131"/>
      <c r="E651" s="131"/>
      <c r="F651" s="131"/>
      <c r="G651" s="131"/>
      <c r="H651" s="133"/>
      <c r="I651" s="131"/>
      <c r="J651" s="131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4"/>
      <c r="AC651" s="134"/>
      <c r="AD651" s="134"/>
      <c r="AE651" s="134"/>
      <c r="AF651" s="134"/>
      <c r="AG651" s="134"/>
      <c r="AH651" s="134"/>
    </row>
    <row r="652" ht="22.5" customHeight="1" spans="1:34">
      <c r="A652" s="135"/>
      <c r="B652" s="136"/>
      <c r="C652" s="137"/>
      <c r="D652" s="136"/>
      <c r="E652" s="136"/>
      <c r="F652" s="136"/>
      <c r="G652" s="136"/>
      <c r="H652" s="138"/>
      <c r="I652" s="136"/>
      <c r="J652" s="136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39"/>
      <c r="AA652" s="139"/>
      <c r="AB652" s="139"/>
      <c r="AC652" s="139"/>
      <c r="AD652" s="139"/>
      <c r="AE652" s="139"/>
      <c r="AF652" s="139"/>
      <c r="AG652" s="139"/>
      <c r="AH652" s="139"/>
    </row>
    <row r="653" ht="22.5" customHeight="1" spans="1:34">
      <c r="A653" s="130"/>
      <c r="B653" s="131"/>
      <c r="C653" s="132"/>
      <c r="D653" s="131"/>
      <c r="E653" s="131"/>
      <c r="F653" s="131"/>
      <c r="G653" s="131"/>
      <c r="H653" s="133"/>
      <c r="I653" s="131"/>
      <c r="J653" s="131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  <c r="AA653" s="134"/>
      <c r="AB653" s="134"/>
      <c r="AC653" s="134"/>
      <c r="AD653" s="134"/>
      <c r="AE653" s="134"/>
      <c r="AF653" s="134"/>
      <c r="AG653" s="134"/>
      <c r="AH653" s="134"/>
    </row>
    <row r="654" ht="22.5" customHeight="1" spans="1:34">
      <c r="A654" s="135"/>
      <c r="B654" s="136"/>
      <c r="C654" s="137"/>
      <c r="D654" s="136"/>
      <c r="E654" s="136"/>
      <c r="F654" s="136"/>
      <c r="G654" s="136"/>
      <c r="H654" s="138"/>
      <c r="I654" s="136"/>
      <c r="J654" s="136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39"/>
      <c r="AA654" s="139"/>
      <c r="AB654" s="139"/>
      <c r="AC654" s="139"/>
      <c r="AD654" s="139"/>
      <c r="AE654" s="139"/>
      <c r="AF654" s="139"/>
      <c r="AG654" s="139"/>
      <c r="AH654" s="139"/>
    </row>
    <row r="655" ht="22.5" customHeight="1" spans="1:34">
      <c r="A655" s="130"/>
      <c r="B655" s="131"/>
      <c r="C655" s="132"/>
      <c r="D655" s="131"/>
      <c r="E655" s="131"/>
      <c r="F655" s="131"/>
      <c r="G655" s="131"/>
      <c r="H655" s="133"/>
      <c r="I655" s="131"/>
      <c r="J655" s="131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  <c r="AA655" s="134"/>
      <c r="AB655" s="134"/>
      <c r="AC655" s="134"/>
      <c r="AD655" s="134"/>
      <c r="AE655" s="134"/>
      <c r="AF655" s="134"/>
      <c r="AG655" s="134"/>
      <c r="AH655" s="134"/>
    </row>
    <row r="656" ht="22.5" customHeight="1" spans="1:34">
      <c r="A656" s="135"/>
      <c r="B656" s="136"/>
      <c r="C656" s="137"/>
      <c r="D656" s="136"/>
      <c r="E656" s="136"/>
      <c r="F656" s="136"/>
      <c r="G656" s="136"/>
      <c r="H656" s="138"/>
      <c r="I656" s="136"/>
      <c r="J656" s="136"/>
      <c r="K656" s="139"/>
      <c r="L656" s="139"/>
      <c r="M656" s="139"/>
      <c r="N656" s="139"/>
      <c r="O656" s="139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39"/>
      <c r="AA656" s="139"/>
      <c r="AB656" s="139"/>
      <c r="AC656" s="139"/>
      <c r="AD656" s="139"/>
      <c r="AE656" s="139"/>
      <c r="AF656" s="139"/>
      <c r="AG656" s="139"/>
      <c r="AH656" s="139"/>
    </row>
    <row r="657" ht="22.5" customHeight="1" spans="1:34">
      <c r="A657" s="130"/>
      <c r="B657" s="131"/>
      <c r="C657" s="132"/>
      <c r="D657" s="131"/>
      <c r="E657" s="131"/>
      <c r="F657" s="131"/>
      <c r="G657" s="131"/>
      <c r="H657" s="133"/>
      <c r="I657" s="131"/>
      <c r="J657" s="131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  <c r="AA657" s="134"/>
      <c r="AB657" s="134"/>
      <c r="AC657" s="134"/>
      <c r="AD657" s="134"/>
      <c r="AE657" s="134"/>
      <c r="AF657" s="134"/>
      <c r="AG657" s="134"/>
      <c r="AH657" s="134"/>
    </row>
    <row r="658" ht="22.5" customHeight="1" spans="1:34">
      <c r="A658" s="135"/>
      <c r="B658" s="136"/>
      <c r="C658" s="137"/>
      <c r="D658" s="136"/>
      <c r="E658" s="136"/>
      <c r="F658" s="136"/>
      <c r="G658" s="136"/>
      <c r="H658" s="138"/>
      <c r="I658" s="136"/>
      <c r="J658" s="136"/>
      <c r="K658" s="139"/>
      <c r="L658" s="139"/>
      <c r="M658" s="139"/>
      <c r="N658" s="139"/>
      <c r="O658" s="139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39"/>
      <c r="AA658" s="139"/>
      <c r="AB658" s="139"/>
      <c r="AC658" s="139"/>
      <c r="AD658" s="139"/>
      <c r="AE658" s="139"/>
      <c r="AF658" s="139"/>
      <c r="AG658" s="139"/>
      <c r="AH658" s="139"/>
    </row>
    <row r="659" ht="22.5" customHeight="1" spans="1:34">
      <c r="A659" s="130"/>
      <c r="B659" s="131"/>
      <c r="C659" s="132"/>
      <c r="D659" s="131"/>
      <c r="E659" s="131"/>
      <c r="F659" s="131"/>
      <c r="G659" s="131"/>
      <c r="H659" s="133"/>
      <c r="I659" s="131"/>
      <c r="J659" s="131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  <c r="AA659" s="134"/>
      <c r="AB659" s="134"/>
      <c r="AC659" s="134"/>
      <c r="AD659" s="134"/>
      <c r="AE659" s="134"/>
      <c r="AF659" s="134"/>
      <c r="AG659" s="134"/>
      <c r="AH659" s="134"/>
    </row>
    <row r="660" ht="22.5" customHeight="1" spans="1:34">
      <c r="A660" s="135"/>
      <c r="B660" s="136"/>
      <c r="C660" s="137"/>
      <c r="D660" s="136"/>
      <c r="E660" s="136"/>
      <c r="F660" s="136"/>
      <c r="G660" s="136"/>
      <c r="H660" s="138"/>
      <c r="I660" s="136"/>
      <c r="J660" s="136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39"/>
      <c r="AA660" s="139"/>
      <c r="AB660" s="139"/>
      <c r="AC660" s="139"/>
      <c r="AD660" s="139"/>
      <c r="AE660" s="139"/>
      <c r="AF660" s="139"/>
      <c r="AG660" s="139"/>
      <c r="AH660" s="139"/>
    </row>
    <row r="661" ht="22.5" customHeight="1" spans="1:34">
      <c r="A661" s="130"/>
      <c r="B661" s="131"/>
      <c r="C661" s="132"/>
      <c r="D661" s="131"/>
      <c r="E661" s="131"/>
      <c r="F661" s="131"/>
      <c r="G661" s="131"/>
      <c r="H661" s="133"/>
      <c r="I661" s="131"/>
      <c r="J661" s="131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  <c r="AA661" s="134"/>
      <c r="AB661" s="134"/>
      <c r="AC661" s="134"/>
      <c r="AD661" s="134"/>
      <c r="AE661" s="134"/>
      <c r="AF661" s="134"/>
      <c r="AG661" s="134"/>
      <c r="AH661" s="134"/>
    </row>
    <row r="662" ht="22.5" customHeight="1" spans="1:34">
      <c r="A662" s="135"/>
      <c r="B662" s="136"/>
      <c r="C662" s="137"/>
      <c r="D662" s="136"/>
      <c r="E662" s="136"/>
      <c r="F662" s="136"/>
      <c r="G662" s="136"/>
      <c r="H662" s="138"/>
      <c r="I662" s="136"/>
      <c r="J662" s="136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39"/>
      <c r="AA662" s="139"/>
      <c r="AB662" s="139"/>
      <c r="AC662" s="139"/>
      <c r="AD662" s="139"/>
      <c r="AE662" s="139"/>
      <c r="AF662" s="139"/>
      <c r="AG662" s="139"/>
      <c r="AH662" s="139"/>
    </row>
    <row r="663" ht="22.5" customHeight="1" spans="1:34">
      <c r="A663" s="130"/>
      <c r="B663" s="131"/>
      <c r="C663" s="132"/>
      <c r="D663" s="131"/>
      <c r="E663" s="131"/>
      <c r="F663" s="131"/>
      <c r="G663" s="131"/>
      <c r="H663" s="133"/>
      <c r="I663" s="131"/>
      <c r="J663" s="131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  <c r="AA663" s="134"/>
      <c r="AB663" s="134"/>
      <c r="AC663" s="134"/>
      <c r="AD663" s="134"/>
      <c r="AE663" s="134"/>
      <c r="AF663" s="134"/>
      <c r="AG663" s="134"/>
      <c r="AH663" s="134"/>
    </row>
    <row r="664" ht="22.5" customHeight="1" spans="1:34">
      <c r="A664" s="135"/>
      <c r="B664" s="136"/>
      <c r="C664" s="137"/>
      <c r="D664" s="136"/>
      <c r="E664" s="136"/>
      <c r="F664" s="136"/>
      <c r="G664" s="136"/>
      <c r="H664" s="138"/>
      <c r="I664" s="136"/>
      <c r="J664" s="136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39"/>
      <c r="AA664" s="139"/>
      <c r="AB664" s="139"/>
      <c r="AC664" s="139"/>
      <c r="AD664" s="139"/>
      <c r="AE664" s="139"/>
      <c r="AF664" s="139"/>
      <c r="AG664" s="139"/>
      <c r="AH664" s="139"/>
    </row>
    <row r="665" ht="22.5" customHeight="1" spans="1:34">
      <c r="A665" s="130"/>
      <c r="B665" s="131"/>
      <c r="C665" s="132"/>
      <c r="D665" s="131"/>
      <c r="E665" s="131"/>
      <c r="F665" s="131"/>
      <c r="G665" s="131"/>
      <c r="H665" s="133"/>
      <c r="I665" s="131"/>
      <c r="J665" s="131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4"/>
      <c r="AC665" s="134"/>
      <c r="AD665" s="134"/>
      <c r="AE665" s="134"/>
      <c r="AF665" s="134"/>
      <c r="AG665" s="134"/>
      <c r="AH665" s="134"/>
    </row>
    <row r="666" ht="22.5" customHeight="1" spans="1:34">
      <c r="A666" s="135"/>
      <c r="B666" s="136"/>
      <c r="C666" s="137"/>
      <c r="D666" s="136"/>
      <c r="E666" s="136"/>
      <c r="F666" s="136"/>
      <c r="G666" s="136"/>
      <c r="H666" s="138"/>
      <c r="I666" s="136"/>
      <c r="J666" s="136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39"/>
      <c r="AA666" s="139"/>
      <c r="AB666" s="139"/>
      <c r="AC666" s="139"/>
      <c r="AD666" s="139"/>
      <c r="AE666" s="139"/>
      <c r="AF666" s="139"/>
      <c r="AG666" s="139"/>
      <c r="AH666" s="139"/>
    </row>
    <row r="667" ht="22.5" customHeight="1" spans="1:34">
      <c r="A667" s="130"/>
      <c r="B667" s="131"/>
      <c r="C667" s="132"/>
      <c r="D667" s="131"/>
      <c r="E667" s="131"/>
      <c r="F667" s="131"/>
      <c r="G667" s="131"/>
      <c r="H667" s="133"/>
      <c r="I667" s="131"/>
      <c r="J667" s="131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  <c r="AA667" s="134"/>
      <c r="AB667" s="134"/>
      <c r="AC667" s="134"/>
      <c r="AD667" s="134"/>
      <c r="AE667" s="134"/>
      <c r="AF667" s="134"/>
      <c r="AG667" s="134"/>
      <c r="AH667" s="134"/>
    </row>
    <row r="668" ht="22.5" customHeight="1" spans="1:34">
      <c r="A668" s="135"/>
      <c r="B668" s="136"/>
      <c r="C668" s="137"/>
      <c r="D668" s="136"/>
      <c r="E668" s="136"/>
      <c r="F668" s="136"/>
      <c r="G668" s="136"/>
      <c r="H668" s="138"/>
      <c r="I668" s="136"/>
      <c r="J668" s="136"/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39"/>
      <c r="AA668" s="139"/>
      <c r="AB668" s="139"/>
      <c r="AC668" s="139"/>
      <c r="AD668" s="139"/>
      <c r="AE668" s="139"/>
      <c r="AF668" s="139"/>
      <c r="AG668" s="139"/>
      <c r="AH668" s="139"/>
    </row>
    <row r="669" ht="22.5" customHeight="1" spans="1:34">
      <c r="A669" s="130"/>
      <c r="B669" s="131"/>
      <c r="C669" s="132"/>
      <c r="D669" s="131"/>
      <c r="E669" s="131"/>
      <c r="F669" s="131"/>
      <c r="G669" s="131"/>
      <c r="H669" s="133"/>
      <c r="I669" s="131"/>
      <c r="J669" s="131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4"/>
      <c r="AC669" s="134"/>
      <c r="AD669" s="134"/>
      <c r="AE669" s="134"/>
      <c r="AF669" s="134"/>
      <c r="AG669" s="134"/>
      <c r="AH669" s="134"/>
    </row>
    <row r="670" ht="22.5" customHeight="1" spans="1:34">
      <c r="A670" s="135"/>
      <c r="B670" s="136"/>
      <c r="C670" s="137"/>
      <c r="D670" s="136"/>
      <c r="E670" s="136"/>
      <c r="F670" s="136"/>
      <c r="G670" s="136"/>
      <c r="H670" s="138"/>
      <c r="I670" s="136"/>
      <c r="J670" s="136"/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39"/>
      <c r="AA670" s="139"/>
      <c r="AB670" s="139"/>
      <c r="AC670" s="139"/>
      <c r="AD670" s="139"/>
      <c r="AE670" s="139"/>
      <c r="AF670" s="139"/>
      <c r="AG670" s="139"/>
      <c r="AH670" s="139"/>
    </row>
    <row r="671" ht="22.5" customHeight="1" spans="1:34">
      <c r="A671" s="130"/>
      <c r="B671" s="131"/>
      <c r="C671" s="132"/>
      <c r="D671" s="131"/>
      <c r="E671" s="131"/>
      <c r="F671" s="131"/>
      <c r="G671" s="131"/>
      <c r="H671" s="133"/>
      <c r="I671" s="131"/>
      <c r="J671" s="131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  <c r="AA671" s="134"/>
      <c r="AB671" s="134"/>
      <c r="AC671" s="134"/>
      <c r="AD671" s="134"/>
      <c r="AE671" s="134"/>
      <c r="AF671" s="134"/>
      <c r="AG671" s="134"/>
      <c r="AH671" s="134"/>
    </row>
    <row r="672" ht="22.5" customHeight="1" spans="1:34">
      <c r="A672" s="135"/>
      <c r="B672" s="136"/>
      <c r="C672" s="137"/>
      <c r="D672" s="136"/>
      <c r="E672" s="136"/>
      <c r="F672" s="136"/>
      <c r="G672" s="136"/>
      <c r="H672" s="138"/>
      <c r="I672" s="136"/>
      <c r="J672" s="136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39"/>
      <c r="AA672" s="139"/>
      <c r="AB672" s="139"/>
      <c r="AC672" s="139"/>
      <c r="AD672" s="139"/>
      <c r="AE672" s="139"/>
      <c r="AF672" s="139"/>
      <c r="AG672" s="139"/>
      <c r="AH672" s="139"/>
    </row>
    <row r="673" ht="22.5" customHeight="1" spans="1:34">
      <c r="A673" s="130"/>
      <c r="B673" s="131"/>
      <c r="C673" s="132"/>
      <c r="D673" s="131"/>
      <c r="E673" s="131"/>
      <c r="F673" s="131"/>
      <c r="G673" s="131"/>
      <c r="H673" s="133"/>
      <c r="I673" s="131"/>
      <c r="J673" s="131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  <c r="AA673" s="134"/>
      <c r="AB673" s="134"/>
      <c r="AC673" s="134"/>
      <c r="AD673" s="134"/>
      <c r="AE673" s="134"/>
      <c r="AF673" s="134"/>
      <c r="AG673" s="134"/>
      <c r="AH673" s="134"/>
    </row>
    <row r="674" ht="22.5" customHeight="1" spans="1:34">
      <c r="A674" s="135"/>
      <c r="B674" s="136"/>
      <c r="C674" s="137"/>
      <c r="D674" s="136"/>
      <c r="E674" s="136"/>
      <c r="F674" s="136"/>
      <c r="G674" s="136"/>
      <c r="H674" s="138"/>
      <c r="I674" s="136"/>
      <c r="J674" s="136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39"/>
      <c r="AA674" s="139"/>
      <c r="AB674" s="139"/>
      <c r="AC674" s="139"/>
      <c r="AD674" s="139"/>
      <c r="AE674" s="139"/>
      <c r="AF674" s="139"/>
      <c r="AG674" s="139"/>
      <c r="AH674" s="139"/>
    </row>
    <row r="675" ht="22.5" customHeight="1" spans="1:34">
      <c r="A675" s="130"/>
      <c r="B675" s="131"/>
      <c r="C675" s="132"/>
      <c r="D675" s="131"/>
      <c r="E675" s="131"/>
      <c r="F675" s="131"/>
      <c r="G675" s="131"/>
      <c r="H675" s="133"/>
      <c r="I675" s="131"/>
      <c r="J675" s="131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  <c r="AA675" s="134"/>
      <c r="AB675" s="134"/>
      <c r="AC675" s="134"/>
      <c r="AD675" s="134"/>
      <c r="AE675" s="134"/>
      <c r="AF675" s="134"/>
      <c r="AG675" s="134"/>
      <c r="AH675" s="134"/>
    </row>
    <row r="676" ht="22.5" customHeight="1" spans="1:34">
      <c r="A676" s="135"/>
      <c r="B676" s="136"/>
      <c r="C676" s="137"/>
      <c r="D676" s="136"/>
      <c r="E676" s="136"/>
      <c r="F676" s="136"/>
      <c r="G676" s="136"/>
      <c r="H676" s="138"/>
      <c r="I676" s="136"/>
      <c r="J676" s="136"/>
      <c r="K676" s="139"/>
      <c r="L676" s="139"/>
      <c r="M676" s="139"/>
      <c r="N676" s="139"/>
      <c r="O676" s="139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39"/>
      <c r="AA676" s="139"/>
      <c r="AB676" s="139"/>
      <c r="AC676" s="139"/>
      <c r="AD676" s="139"/>
      <c r="AE676" s="139"/>
      <c r="AF676" s="139"/>
      <c r="AG676" s="139"/>
      <c r="AH676" s="139"/>
    </row>
    <row r="677" ht="22.5" customHeight="1" spans="1:34">
      <c r="A677" s="130"/>
      <c r="B677" s="131"/>
      <c r="C677" s="132"/>
      <c r="D677" s="131"/>
      <c r="E677" s="131"/>
      <c r="F677" s="131"/>
      <c r="G677" s="131"/>
      <c r="H677" s="133"/>
      <c r="I677" s="131"/>
      <c r="J677" s="131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  <c r="AA677" s="134"/>
      <c r="AB677" s="134"/>
      <c r="AC677" s="134"/>
      <c r="AD677" s="134"/>
      <c r="AE677" s="134"/>
      <c r="AF677" s="134"/>
      <c r="AG677" s="134"/>
      <c r="AH677" s="134"/>
    </row>
    <row r="678" ht="22.5" customHeight="1" spans="1:34">
      <c r="A678" s="135"/>
      <c r="B678" s="136"/>
      <c r="C678" s="137"/>
      <c r="D678" s="136"/>
      <c r="E678" s="136"/>
      <c r="F678" s="136"/>
      <c r="G678" s="136"/>
      <c r="H678" s="138"/>
      <c r="I678" s="136"/>
      <c r="J678" s="136"/>
      <c r="K678" s="139"/>
      <c r="L678" s="139"/>
      <c r="M678" s="139"/>
      <c r="N678" s="139"/>
      <c r="O678" s="139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39"/>
      <c r="AA678" s="139"/>
      <c r="AB678" s="139"/>
      <c r="AC678" s="139"/>
      <c r="AD678" s="139"/>
      <c r="AE678" s="139"/>
      <c r="AF678" s="139"/>
      <c r="AG678" s="139"/>
      <c r="AH678" s="139"/>
    </row>
    <row r="679" ht="22.5" customHeight="1" spans="1:34">
      <c r="A679" s="130"/>
      <c r="B679" s="131"/>
      <c r="C679" s="132"/>
      <c r="D679" s="131"/>
      <c r="E679" s="131"/>
      <c r="F679" s="131"/>
      <c r="G679" s="131"/>
      <c r="H679" s="133"/>
      <c r="I679" s="131"/>
      <c r="J679" s="131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  <c r="AA679" s="134"/>
      <c r="AB679" s="134"/>
      <c r="AC679" s="134"/>
      <c r="AD679" s="134"/>
      <c r="AE679" s="134"/>
      <c r="AF679" s="134"/>
      <c r="AG679" s="134"/>
      <c r="AH679" s="134"/>
    </row>
    <row r="680" ht="22.5" customHeight="1" spans="1:34">
      <c r="A680" s="135"/>
      <c r="B680" s="136"/>
      <c r="C680" s="137"/>
      <c r="D680" s="136"/>
      <c r="E680" s="136"/>
      <c r="F680" s="136"/>
      <c r="G680" s="136"/>
      <c r="H680" s="138"/>
      <c r="I680" s="136"/>
      <c r="J680" s="136"/>
      <c r="K680" s="139"/>
      <c r="L680" s="139"/>
      <c r="M680" s="139"/>
      <c r="N680" s="139"/>
      <c r="O680" s="139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39"/>
      <c r="AA680" s="139"/>
      <c r="AB680" s="139"/>
      <c r="AC680" s="139"/>
      <c r="AD680" s="139"/>
      <c r="AE680" s="139"/>
      <c r="AF680" s="139"/>
      <c r="AG680" s="139"/>
      <c r="AH680" s="139"/>
    </row>
    <row r="681" ht="22.5" customHeight="1" spans="1:34">
      <c r="A681" s="130"/>
      <c r="B681" s="131"/>
      <c r="C681" s="132"/>
      <c r="D681" s="131"/>
      <c r="E681" s="131"/>
      <c r="F681" s="131"/>
      <c r="G681" s="131"/>
      <c r="H681" s="133"/>
      <c r="I681" s="131"/>
      <c r="J681" s="131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  <c r="AA681" s="134"/>
      <c r="AB681" s="134"/>
      <c r="AC681" s="134"/>
      <c r="AD681" s="134"/>
      <c r="AE681" s="134"/>
      <c r="AF681" s="134"/>
      <c r="AG681" s="134"/>
      <c r="AH681" s="134"/>
    </row>
    <row r="682" ht="22.5" customHeight="1" spans="1:34">
      <c r="A682" s="135"/>
      <c r="B682" s="136"/>
      <c r="C682" s="137"/>
      <c r="D682" s="136"/>
      <c r="E682" s="136"/>
      <c r="F682" s="136"/>
      <c r="G682" s="136"/>
      <c r="H682" s="138"/>
      <c r="I682" s="136"/>
      <c r="J682" s="136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39"/>
      <c r="AA682" s="139"/>
      <c r="AB682" s="139"/>
      <c r="AC682" s="139"/>
      <c r="AD682" s="139"/>
      <c r="AE682" s="139"/>
      <c r="AF682" s="139"/>
      <c r="AG682" s="139"/>
      <c r="AH682" s="139"/>
    </row>
    <row r="683" ht="22.5" customHeight="1" spans="1:34">
      <c r="A683" s="130"/>
      <c r="B683" s="131"/>
      <c r="C683" s="132"/>
      <c r="D683" s="131"/>
      <c r="E683" s="131"/>
      <c r="F683" s="131"/>
      <c r="G683" s="131"/>
      <c r="H683" s="133"/>
      <c r="I683" s="131"/>
      <c r="J683" s="131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  <c r="AA683" s="134"/>
      <c r="AB683" s="134"/>
      <c r="AC683" s="134"/>
      <c r="AD683" s="134"/>
      <c r="AE683" s="134"/>
      <c r="AF683" s="134"/>
      <c r="AG683" s="134"/>
      <c r="AH683" s="134"/>
    </row>
    <row r="684" ht="22.5" customHeight="1" spans="1:34">
      <c r="A684" s="135"/>
      <c r="B684" s="136"/>
      <c r="C684" s="137"/>
      <c r="D684" s="136"/>
      <c r="E684" s="136"/>
      <c r="F684" s="136"/>
      <c r="G684" s="136"/>
      <c r="H684" s="138"/>
      <c r="I684" s="136"/>
      <c r="J684" s="136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39"/>
      <c r="AA684" s="139"/>
      <c r="AB684" s="139"/>
      <c r="AC684" s="139"/>
      <c r="AD684" s="139"/>
      <c r="AE684" s="139"/>
      <c r="AF684" s="139"/>
      <c r="AG684" s="139"/>
      <c r="AH684" s="139"/>
    </row>
    <row r="685" ht="22.5" customHeight="1" spans="1:34">
      <c r="A685" s="130"/>
      <c r="B685" s="131"/>
      <c r="C685" s="132"/>
      <c r="D685" s="131"/>
      <c r="E685" s="131"/>
      <c r="F685" s="131"/>
      <c r="G685" s="131"/>
      <c r="H685" s="133"/>
      <c r="I685" s="131"/>
      <c r="J685" s="131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  <c r="AA685" s="134"/>
      <c r="AB685" s="134"/>
      <c r="AC685" s="134"/>
      <c r="AD685" s="134"/>
      <c r="AE685" s="134"/>
      <c r="AF685" s="134"/>
      <c r="AG685" s="134"/>
      <c r="AH685" s="134"/>
    </row>
    <row r="686" ht="22.5" customHeight="1" spans="1:34">
      <c r="A686" s="135"/>
      <c r="B686" s="136"/>
      <c r="C686" s="137"/>
      <c r="D686" s="136"/>
      <c r="E686" s="136"/>
      <c r="F686" s="136"/>
      <c r="G686" s="136"/>
      <c r="H686" s="138"/>
      <c r="I686" s="136"/>
      <c r="J686" s="136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39"/>
      <c r="AA686" s="139"/>
      <c r="AB686" s="139"/>
      <c r="AC686" s="139"/>
      <c r="AD686" s="139"/>
      <c r="AE686" s="139"/>
      <c r="AF686" s="139"/>
      <c r="AG686" s="139"/>
      <c r="AH686" s="139"/>
    </row>
    <row r="687" ht="22.5" customHeight="1" spans="1:34">
      <c r="A687" s="130"/>
      <c r="B687" s="131"/>
      <c r="C687" s="132"/>
      <c r="D687" s="131"/>
      <c r="E687" s="131"/>
      <c r="F687" s="131"/>
      <c r="G687" s="131"/>
      <c r="H687" s="133"/>
      <c r="I687" s="131"/>
      <c r="J687" s="131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  <c r="AA687" s="134"/>
      <c r="AB687" s="134"/>
      <c r="AC687" s="134"/>
      <c r="AD687" s="134"/>
      <c r="AE687" s="134"/>
      <c r="AF687" s="134"/>
      <c r="AG687" s="134"/>
      <c r="AH687" s="134"/>
    </row>
    <row r="688" ht="22.5" customHeight="1" spans="1:34">
      <c r="A688" s="135"/>
      <c r="B688" s="136"/>
      <c r="C688" s="137"/>
      <c r="D688" s="136"/>
      <c r="E688" s="136"/>
      <c r="F688" s="136"/>
      <c r="G688" s="136"/>
      <c r="H688" s="138"/>
      <c r="I688" s="136"/>
      <c r="J688" s="136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39"/>
      <c r="AA688" s="139"/>
      <c r="AB688" s="139"/>
      <c r="AC688" s="139"/>
      <c r="AD688" s="139"/>
      <c r="AE688" s="139"/>
      <c r="AF688" s="139"/>
      <c r="AG688" s="139"/>
      <c r="AH688" s="139"/>
    </row>
    <row r="689" ht="22.5" customHeight="1" spans="1:34">
      <c r="A689" s="130"/>
      <c r="B689" s="131"/>
      <c r="C689" s="132"/>
      <c r="D689" s="131"/>
      <c r="E689" s="131"/>
      <c r="F689" s="131"/>
      <c r="G689" s="131"/>
      <c r="H689" s="133"/>
      <c r="I689" s="131"/>
      <c r="J689" s="131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  <c r="AA689" s="134"/>
      <c r="AB689" s="134"/>
      <c r="AC689" s="134"/>
      <c r="AD689" s="134"/>
      <c r="AE689" s="134"/>
      <c r="AF689" s="134"/>
      <c r="AG689" s="134"/>
      <c r="AH689" s="134"/>
    </row>
    <row r="690" ht="22.5" customHeight="1" spans="1:34">
      <c r="A690" s="135"/>
      <c r="B690" s="136"/>
      <c r="C690" s="137"/>
      <c r="D690" s="136"/>
      <c r="E690" s="136"/>
      <c r="F690" s="136"/>
      <c r="G690" s="136"/>
      <c r="H690" s="138"/>
      <c r="I690" s="136"/>
      <c r="J690" s="136"/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39"/>
      <c r="AA690" s="139"/>
      <c r="AB690" s="139"/>
      <c r="AC690" s="139"/>
      <c r="AD690" s="139"/>
      <c r="AE690" s="139"/>
      <c r="AF690" s="139"/>
      <c r="AG690" s="139"/>
      <c r="AH690" s="139"/>
    </row>
    <row r="691" ht="22.5" customHeight="1" spans="1:34">
      <c r="A691" s="130"/>
      <c r="B691" s="131"/>
      <c r="C691" s="132"/>
      <c r="D691" s="131"/>
      <c r="E691" s="131"/>
      <c r="F691" s="131"/>
      <c r="G691" s="131"/>
      <c r="H691" s="133"/>
      <c r="I691" s="131"/>
      <c r="J691" s="131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4"/>
      <c r="AC691" s="134"/>
      <c r="AD691" s="134"/>
      <c r="AE691" s="134"/>
      <c r="AF691" s="134"/>
      <c r="AG691" s="134"/>
      <c r="AH691" s="134"/>
    </row>
    <row r="692" ht="22.5" customHeight="1" spans="1:34">
      <c r="A692" s="135"/>
      <c r="B692" s="136"/>
      <c r="C692" s="137"/>
      <c r="D692" s="136"/>
      <c r="E692" s="136"/>
      <c r="F692" s="136"/>
      <c r="G692" s="136"/>
      <c r="H692" s="138"/>
      <c r="I692" s="136"/>
      <c r="J692" s="136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  <c r="AA692" s="139"/>
      <c r="AB692" s="139"/>
      <c r="AC692" s="139"/>
      <c r="AD692" s="139"/>
      <c r="AE692" s="139"/>
      <c r="AF692" s="139"/>
      <c r="AG692" s="139"/>
      <c r="AH692" s="139"/>
    </row>
    <row r="693" ht="22.5" customHeight="1" spans="1:34">
      <c r="A693" s="130"/>
      <c r="B693" s="131"/>
      <c r="C693" s="132"/>
      <c r="D693" s="131"/>
      <c r="E693" s="131"/>
      <c r="F693" s="131"/>
      <c r="G693" s="131"/>
      <c r="H693" s="133"/>
      <c r="I693" s="131"/>
      <c r="J693" s="131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  <c r="AA693" s="134"/>
      <c r="AB693" s="134"/>
      <c r="AC693" s="134"/>
      <c r="AD693" s="134"/>
      <c r="AE693" s="134"/>
      <c r="AF693" s="134"/>
      <c r="AG693" s="134"/>
      <c r="AH693" s="134"/>
    </row>
    <row r="694" ht="22.5" customHeight="1" spans="1:34">
      <c r="A694" s="135"/>
      <c r="B694" s="136"/>
      <c r="C694" s="137"/>
      <c r="D694" s="136"/>
      <c r="E694" s="136"/>
      <c r="F694" s="136"/>
      <c r="G694" s="136"/>
      <c r="H694" s="138"/>
      <c r="I694" s="136"/>
      <c r="J694" s="136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39"/>
      <c r="AA694" s="139"/>
      <c r="AB694" s="139"/>
      <c r="AC694" s="139"/>
      <c r="AD694" s="139"/>
      <c r="AE694" s="139"/>
      <c r="AF694" s="139"/>
      <c r="AG694" s="139"/>
      <c r="AH694" s="139"/>
    </row>
    <row r="695" ht="22.5" customHeight="1" spans="1:34">
      <c r="A695" s="130"/>
      <c r="B695" s="131"/>
      <c r="C695" s="132"/>
      <c r="D695" s="131"/>
      <c r="E695" s="131"/>
      <c r="F695" s="131"/>
      <c r="G695" s="131"/>
      <c r="H695" s="133"/>
      <c r="I695" s="131"/>
      <c r="J695" s="131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  <c r="AA695" s="134"/>
      <c r="AB695" s="134"/>
      <c r="AC695" s="134"/>
      <c r="AD695" s="134"/>
      <c r="AE695" s="134"/>
      <c r="AF695" s="134"/>
      <c r="AG695" s="134"/>
      <c r="AH695" s="134"/>
    </row>
    <row r="696" ht="22.5" customHeight="1" spans="1:34">
      <c r="A696" s="135"/>
      <c r="B696" s="136"/>
      <c r="C696" s="137"/>
      <c r="D696" s="136"/>
      <c r="E696" s="136"/>
      <c r="F696" s="136"/>
      <c r="G696" s="136"/>
      <c r="H696" s="138"/>
      <c r="I696" s="136"/>
      <c r="J696" s="136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39"/>
      <c r="AA696" s="139"/>
      <c r="AB696" s="139"/>
      <c r="AC696" s="139"/>
      <c r="AD696" s="139"/>
      <c r="AE696" s="139"/>
      <c r="AF696" s="139"/>
      <c r="AG696" s="139"/>
      <c r="AH696" s="139"/>
    </row>
    <row r="697" ht="22.5" customHeight="1" spans="1:34">
      <c r="A697" s="130"/>
      <c r="B697" s="131"/>
      <c r="C697" s="132"/>
      <c r="D697" s="131"/>
      <c r="E697" s="131"/>
      <c r="F697" s="131"/>
      <c r="G697" s="131"/>
      <c r="H697" s="133"/>
      <c r="I697" s="131"/>
      <c r="J697" s="131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  <c r="AA697" s="134"/>
      <c r="AB697" s="134"/>
      <c r="AC697" s="134"/>
      <c r="AD697" s="134"/>
      <c r="AE697" s="134"/>
      <c r="AF697" s="134"/>
      <c r="AG697" s="134"/>
      <c r="AH697" s="134"/>
    </row>
    <row r="698" ht="22.5" customHeight="1" spans="1:34">
      <c r="A698" s="135"/>
      <c r="B698" s="136"/>
      <c r="C698" s="137"/>
      <c r="D698" s="136"/>
      <c r="E698" s="136"/>
      <c r="F698" s="136"/>
      <c r="G698" s="136"/>
      <c r="H698" s="138"/>
      <c r="I698" s="136"/>
      <c r="J698" s="136"/>
      <c r="K698" s="139"/>
      <c r="L698" s="139"/>
      <c r="M698" s="139"/>
      <c r="N698" s="139"/>
      <c r="O698" s="139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39"/>
      <c r="AA698" s="139"/>
      <c r="AB698" s="139"/>
      <c r="AC698" s="139"/>
      <c r="AD698" s="139"/>
      <c r="AE698" s="139"/>
      <c r="AF698" s="139"/>
      <c r="AG698" s="139"/>
      <c r="AH698" s="139"/>
    </row>
    <row r="699" ht="22.5" customHeight="1" spans="1:34">
      <c r="A699" s="130"/>
      <c r="B699" s="131"/>
      <c r="C699" s="132"/>
      <c r="D699" s="131"/>
      <c r="E699" s="131"/>
      <c r="F699" s="131"/>
      <c r="G699" s="131"/>
      <c r="H699" s="133"/>
      <c r="I699" s="131"/>
      <c r="J699" s="131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  <c r="AA699" s="134"/>
      <c r="AB699" s="134"/>
      <c r="AC699" s="134"/>
      <c r="AD699" s="134"/>
      <c r="AE699" s="134"/>
      <c r="AF699" s="134"/>
      <c r="AG699" s="134"/>
      <c r="AH699" s="134"/>
    </row>
    <row r="700" ht="22.5" customHeight="1" spans="1:34">
      <c r="A700" s="135"/>
      <c r="B700" s="136"/>
      <c r="C700" s="137"/>
      <c r="D700" s="136"/>
      <c r="E700" s="136"/>
      <c r="F700" s="136"/>
      <c r="G700" s="136"/>
      <c r="H700" s="138"/>
      <c r="I700" s="136"/>
      <c r="J700" s="136"/>
      <c r="K700" s="139"/>
      <c r="L700" s="139"/>
      <c r="M700" s="139"/>
      <c r="N700" s="139"/>
      <c r="O700" s="139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39"/>
      <c r="AA700" s="139"/>
      <c r="AB700" s="139"/>
      <c r="AC700" s="139"/>
      <c r="AD700" s="139"/>
      <c r="AE700" s="139"/>
      <c r="AF700" s="139"/>
      <c r="AG700" s="139"/>
      <c r="AH700" s="139"/>
    </row>
    <row r="701" ht="22.5" customHeight="1" spans="1:34">
      <c r="A701" s="130"/>
      <c r="B701" s="131"/>
      <c r="C701" s="132"/>
      <c r="D701" s="131"/>
      <c r="E701" s="131"/>
      <c r="F701" s="131"/>
      <c r="G701" s="131"/>
      <c r="H701" s="133"/>
      <c r="I701" s="131"/>
      <c r="J701" s="131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4"/>
      <c r="AC701" s="134"/>
      <c r="AD701" s="134"/>
      <c r="AE701" s="134"/>
      <c r="AF701" s="134"/>
      <c r="AG701" s="134"/>
      <c r="AH701" s="134"/>
    </row>
    <row r="702" ht="22.5" customHeight="1" spans="1:34">
      <c r="A702" s="135"/>
      <c r="B702" s="136"/>
      <c r="C702" s="137"/>
      <c r="D702" s="136"/>
      <c r="E702" s="136"/>
      <c r="F702" s="136"/>
      <c r="G702" s="136"/>
      <c r="H702" s="138"/>
      <c r="I702" s="136"/>
      <c r="J702" s="136"/>
      <c r="K702" s="139"/>
      <c r="L702" s="139"/>
      <c r="M702" s="139"/>
      <c r="N702" s="139"/>
      <c r="O702" s="139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39"/>
      <c r="AA702" s="139"/>
      <c r="AB702" s="139"/>
      <c r="AC702" s="139"/>
      <c r="AD702" s="139"/>
      <c r="AE702" s="139"/>
      <c r="AF702" s="139"/>
      <c r="AG702" s="139"/>
      <c r="AH702" s="139"/>
    </row>
    <row r="703" ht="22.5" customHeight="1" spans="1:34">
      <c r="A703" s="130"/>
      <c r="B703" s="131"/>
      <c r="C703" s="132"/>
      <c r="D703" s="131"/>
      <c r="E703" s="131"/>
      <c r="F703" s="131"/>
      <c r="G703" s="131"/>
      <c r="H703" s="133"/>
      <c r="I703" s="131"/>
      <c r="J703" s="131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  <c r="AA703" s="134"/>
      <c r="AB703" s="134"/>
      <c r="AC703" s="134"/>
      <c r="AD703" s="134"/>
      <c r="AE703" s="134"/>
      <c r="AF703" s="134"/>
      <c r="AG703" s="134"/>
      <c r="AH703" s="134"/>
    </row>
    <row r="704" ht="22.5" customHeight="1" spans="1:34">
      <c r="A704" s="135"/>
      <c r="B704" s="136"/>
      <c r="C704" s="137"/>
      <c r="D704" s="136"/>
      <c r="E704" s="136"/>
      <c r="F704" s="136"/>
      <c r="G704" s="136"/>
      <c r="H704" s="138"/>
      <c r="I704" s="136"/>
      <c r="J704" s="136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39"/>
      <c r="AA704" s="139"/>
      <c r="AB704" s="139"/>
      <c r="AC704" s="139"/>
      <c r="AD704" s="139"/>
      <c r="AE704" s="139"/>
      <c r="AF704" s="139"/>
      <c r="AG704" s="139"/>
      <c r="AH704" s="139"/>
    </row>
    <row r="705" ht="22.5" customHeight="1" spans="1:34">
      <c r="A705" s="130"/>
      <c r="B705" s="131"/>
      <c r="C705" s="132"/>
      <c r="D705" s="131"/>
      <c r="E705" s="131"/>
      <c r="F705" s="131"/>
      <c r="G705" s="131"/>
      <c r="H705" s="133"/>
      <c r="I705" s="131"/>
      <c r="J705" s="131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  <c r="AA705" s="134"/>
      <c r="AB705" s="134"/>
      <c r="AC705" s="134"/>
      <c r="AD705" s="134"/>
      <c r="AE705" s="134"/>
      <c r="AF705" s="134"/>
      <c r="AG705" s="134"/>
      <c r="AH705" s="134"/>
    </row>
    <row r="706" ht="22.5" customHeight="1" spans="1:34">
      <c r="A706" s="135"/>
      <c r="B706" s="136"/>
      <c r="C706" s="137"/>
      <c r="D706" s="136"/>
      <c r="E706" s="136"/>
      <c r="F706" s="136"/>
      <c r="G706" s="136"/>
      <c r="H706" s="138"/>
      <c r="I706" s="136"/>
      <c r="J706" s="136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39"/>
      <c r="AA706" s="139"/>
      <c r="AB706" s="139"/>
      <c r="AC706" s="139"/>
      <c r="AD706" s="139"/>
      <c r="AE706" s="139"/>
      <c r="AF706" s="139"/>
      <c r="AG706" s="139"/>
      <c r="AH706" s="139"/>
    </row>
    <row r="707" ht="22.5" customHeight="1" spans="1:34">
      <c r="A707" s="130"/>
      <c r="B707" s="131"/>
      <c r="C707" s="132"/>
      <c r="D707" s="131"/>
      <c r="E707" s="131"/>
      <c r="F707" s="131"/>
      <c r="G707" s="131"/>
      <c r="H707" s="133"/>
      <c r="I707" s="131"/>
      <c r="J707" s="131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  <c r="AA707" s="134"/>
      <c r="AB707" s="134"/>
      <c r="AC707" s="134"/>
      <c r="AD707" s="134"/>
      <c r="AE707" s="134"/>
      <c r="AF707" s="134"/>
      <c r="AG707" s="134"/>
      <c r="AH707" s="134"/>
    </row>
    <row r="708" ht="22.5" customHeight="1" spans="1:34">
      <c r="A708" s="135"/>
      <c r="B708" s="136"/>
      <c r="C708" s="137"/>
      <c r="D708" s="136"/>
      <c r="E708" s="136"/>
      <c r="F708" s="136"/>
      <c r="G708" s="136"/>
      <c r="H708" s="138"/>
      <c r="I708" s="136"/>
      <c r="J708" s="136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39"/>
      <c r="AA708" s="139"/>
      <c r="AB708" s="139"/>
      <c r="AC708" s="139"/>
      <c r="AD708" s="139"/>
      <c r="AE708" s="139"/>
      <c r="AF708" s="139"/>
      <c r="AG708" s="139"/>
      <c r="AH708" s="139"/>
    </row>
    <row r="709" ht="22.5" customHeight="1" spans="1:34">
      <c r="A709" s="130"/>
      <c r="B709" s="131"/>
      <c r="C709" s="132"/>
      <c r="D709" s="131"/>
      <c r="E709" s="131"/>
      <c r="F709" s="131"/>
      <c r="G709" s="131"/>
      <c r="H709" s="133"/>
      <c r="I709" s="131"/>
      <c r="J709" s="131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  <c r="AA709" s="134"/>
      <c r="AB709" s="134"/>
      <c r="AC709" s="134"/>
      <c r="AD709" s="134"/>
      <c r="AE709" s="134"/>
      <c r="AF709" s="134"/>
      <c r="AG709" s="134"/>
      <c r="AH709" s="134"/>
    </row>
    <row r="710" ht="22.5" customHeight="1" spans="1:34">
      <c r="A710" s="135"/>
      <c r="B710" s="136"/>
      <c r="C710" s="137"/>
      <c r="D710" s="136"/>
      <c r="E710" s="136"/>
      <c r="F710" s="136"/>
      <c r="G710" s="136"/>
      <c r="H710" s="138"/>
      <c r="I710" s="136"/>
      <c r="J710" s="136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39"/>
      <c r="AA710" s="139"/>
      <c r="AB710" s="139"/>
      <c r="AC710" s="139"/>
      <c r="AD710" s="139"/>
      <c r="AE710" s="139"/>
      <c r="AF710" s="139"/>
      <c r="AG710" s="139"/>
      <c r="AH710" s="139"/>
    </row>
    <row r="711" ht="22.5" customHeight="1" spans="1:34">
      <c r="A711" s="130"/>
      <c r="B711" s="131"/>
      <c r="C711" s="132"/>
      <c r="D711" s="131"/>
      <c r="E711" s="131"/>
      <c r="F711" s="131"/>
      <c r="G711" s="131"/>
      <c r="H711" s="133"/>
      <c r="I711" s="131"/>
      <c r="J711" s="131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  <c r="AA711" s="134"/>
      <c r="AB711" s="134"/>
      <c r="AC711" s="134"/>
      <c r="AD711" s="134"/>
      <c r="AE711" s="134"/>
      <c r="AF711" s="134"/>
      <c r="AG711" s="134"/>
      <c r="AH711" s="134"/>
    </row>
    <row r="712" ht="22.5" customHeight="1" spans="1:34">
      <c r="A712" s="135"/>
      <c r="B712" s="136"/>
      <c r="C712" s="137"/>
      <c r="D712" s="136"/>
      <c r="E712" s="136"/>
      <c r="F712" s="136"/>
      <c r="G712" s="136"/>
      <c r="H712" s="138"/>
      <c r="I712" s="136"/>
      <c r="J712" s="136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  <c r="AA712" s="139"/>
      <c r="AB712" s="139"/>
      <c r="AC712" s="139"/>
      <c r="AD712" s="139"/>
      <c r="AE712" s="139"/>
      <c r="AF712" s="139"/>
      <c r="AG712" s="139"/>
      <c r="AH712" s="139"/>
    </row>
    <row r="713" ht="22.5" customHeight="1" spans="1:34">
      <c r="A713" s="130"/>
      <c r="B713" s="131"/>
      <c r="C713" s="132"/>
      <c r="D713" s="131"/>
      <c r="E713" s="131"/>
      <c r="F713" s="131"/>
      <c r="G713" s="131"/>
      <c r="H713" s="133"/>
      <c r="I713" s="131"/>
      <c r="J713" s="131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4"/>
      <c r="AC713" s="134"/>
      <c r="AD713" s="134"/>
      <c r="AE713" s="134"/>
      <c r="AF713" s="134"/>
      <c r="AG713" s="134"/>
      <c r="AH713" s="134"/>
    </row>
    <row r="714" ht="22.5" customHeight="1" spans="1:34">
      <c r="A714" s="135"/>
      <c r="B714" s="136"/>
      <c r="C714" s="137"/>
      <c r="D714" s="136"/>
      <c r="E714" s="136"/>
      <c r="F714" s="136"/>
      <c r="G714" s="136"/>
      <c r="H714" s="138"/>
      <c r="I714" s="136"/>
      <c r="J714" s="136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39"/>
      <c r="AA714" s="139"/>
      <c r="AB714" s="139"/>
      <c r="AC714" s="139"/>
      <c r="AD714" s="139"/>
      <c r="AE714" s="139"/>
      <c r="AF714" s="139"/>
      <c r="AG714" s="139"/>
      <c r="AH714" s="139"/>
    </row>
    <row r="715" ht="22.5" customHeight="1" spans="1:34">
      <c r="A715" s="130"/>
      <c r="B715" s="131"/>
      <c r="C715" s="132"/>
      <c r="D715" s="131"/>
      <c r="E715" s="131"/>
      <c r="F715" s="131"/>
      <c r="G715" s="131"/>
      <c r="H715" s="133"/>
      <c r="I715" s="131"/>
      <c r="J715" s="131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4"/>
      <c r="AC715" s="134"/>
      <c r="AD715" s="134"/>
      <c r="AE715" s="134"/>
      <c r="AF715" s="134"/>
      <c r="AG715" s="134"/>
      <c r="AH715" s="134"/>
    </row>
    <row r="716" ht="22.5" customHeight="1" spans="1:34">
      <c r="A716" s="135"/>
      <c r="B716" s="136"/>
      <c r="C716" s="137"/>
      <c r="D716" s="136"/>
      <c r="E716" s="136"/>
      <c r="F716" s="136"/>
      <c r="G716" s="136"/>
      <c r="H716" s="138"/>
      <c r="I716" s="136"/>
      <c r="J716" s="136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39"/>
      <c r="AA716" s="139"/>
      <c r="AB716" s="139"/>
      <c r="AC716" s="139"/>
      <c r="AD716" s="139"/>
      <c r="AE716" s="139"/>
      <c r="AF716" s="139"/>
      <c r="AG716" s="139"/>
      <c r="AH716" s="139"/>
    </row>
    <row r="717" ht="22.5" customHeight="1" spans="1:34">
      <c r="A717" s="130"/>
      <c r="B717" s="131"/>
      <c r="C717" s="132"/>
      <c r="D717" s="131"/>
      <c r="E717" s="131"/>
      <c r="F717" s="131"/>
      <c r="G717" s="131"/>
      <c r="H717" s="133"/>
      <c r="I717" s="131"/>
      <c r="J717" s="131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  <c r="AA717" s="134"/>
      <c r="AB717" s="134"/>
      <c r="AC717" s="134"/>
      <c r="AD717" s="134"/>
      <c r="AE717" s="134"/>
      <c r="AF717" s="134"/>
      <c r="AG717" s="134"/>
      <c r="AH717" s="134"/>
    </row>
    <row r="718" ht="22.5" customHeight="1" spans="1:34">
      <c r="A718" s="135"/>
      <c r="B718" s="136"/>
      <c r="C718" s="137"/>
      <c r="D718" s="136"/>
      <c r="E718" s="136"/>
      <c r="F718" s="136"/>
      <c r="G718" s="136"/>
      <c r="H718" s="138"/>
      <c r="I718" s="136"/>
      <c r="J718" s="136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39"/>
      <c r="AA718" s="139"/>
      <c r="AB718" s="139"/>
      <c r="AC718" s="139"/>
      <c r="AD718" s="139"/>
      <c r="AE718" s="139"/>
      <c r="AF718" s="139"/>
      <c r="AG718" s="139"/>
      <c r="AH718" s="139"/>
    </row>
    <row r="719" ht="22.5" customHeight="1" spans="1:34">
      <c r="A719" s="130"/>
      <c r="B719" s="131"/>
      <c r="C719" s="132"/>
      <c r="D719" s="131"/>
      <c r="E719" s="131"/>
      <c r="F719" s="131"/>
      <c r="G719" s="131"/>
      <c r="H719" s="133"/>
      <c r="I719" s="131"/>
      <c r="J719" s="131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4"/>
      <c r="AC719" s="134"/>
      <c r="AD719" s="134"/>
      <c r="AE719" s="134"/>
      <c r="AF719" s="134"/>
      <c r="AG719" s="134"/>
      <c r="AH719" s="134"/>
    </row>
    <row r="720" ht="22.5" customHeight="1" spans="1:34">
      <c r="A720" s="135"/>
      <c r="B720" s="136"/>
      <c r="C720" s="137"/>
      <c r="D720" s="136"/>
      <c r="E720" s="136"/>
      <c r="F720" s="136"/>
      <c r="G720" s="136"/>
      <c r="H720" s="138"/>
      <c r="I720" s="136"/>
      <c r="J720" s="136"/>
      <c r="K720" s="139"/>
      <c r="L720" s="139"/>
      <c r="M720" s="139"/>
      <c r="N720" s="139"/>
      <c r="O720" s="139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39"/>
      <c r="AA720" s="139"/>
      <c r="AB720" s="139"/>
      <c r="AC720" s="139"/>
      <c r="AD720" s="139"/>
      <c r="AE720" s="139"/>
      <c r="AF720" s="139"/>
      <c r="AG720" s="139"/>
      <c r="AH720" s="139"/>
    </row>
    <row r="721" ht="22.5" customHeight="1" spans="1:34">
      <c r="A721" s="130"/>
      <c r="B721" s="131"/>
      <c r="C721" s="132"/>
      <c r="D721" s="131"/>
      <c r="E721" s="131"/>
      <c r="F721" s="131"/>
      <c r="G721" s="131"/>
      <c r="H721" s="133"/>
      <c r="I721" s="131"/>
      <c r="J721" s="131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  <c r="AA721" s="134"/>
      <c r="AB721" s="134"/>
      <c r="AC721" s="134"/>
      <c r="AD721" s="134"/>
      <c r="AE721" s="134"/>
      <c r="AF721" s="134"/>
      <c r="AG721" s="134"/>
      <c r="AH721" s="134"/>
    </row>
    <row r="722" ht="22.5" customHeight="1" spans="1:34">
      <c r="A722" s="135"/>
      <c r="B722" s="136"/>
      <c r="C722" s="137"/>
      <c r="D722" s="136"/>
      <c r="E722" s="136"/>
      <c r="F722" s="136"/>
      <c r="G722" s="136"/>
      <c r="H722" s="138"/>
      <c r="I722" s="136"/>
      <c r="J722" s="136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39"/>
      <c r="AA722" s="139"/>
      <c r="AB722" s="139"/>
      <c r="AC722" s="139"/>
      <c r="AD722" s="139"/>
      <c r="AE722" s="139"/>
      <c r="AF722" s="139"/>
      <c r="AG722" s="139"/>
      <c r="AH722" s="139"/>
    </row>
    <row r="723" ht="22.5" customHeight="1" spans="1:34">
      <c r="A723" s="130"/>
      <c r="B723" s="131"/>
      <c r="C723" s="132"/>
      <c r="D723" s="131"/>
      <c r="E723" s="131"/>
      <c r="F723" s="131"/>
      <c r="G723" s="131"/>
      <c r="H723" s="133"/>
      <c r="I723" s="131"/>
      <c r="J723" s="131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  <c r="AA723" s="134"/>
      <c r="AB723" s="134"/>
      <c r="AC723" s="134"/>
      <c r="AD723" s="134"/>
      <c r="AE723" s="134"/>
      <c r="AF723" s="134"/>
      <c r="AG723" s="134"/>
      <c r="AH723" s="134"/>
    </row>
    <row r="724" ht="22.5" customHeight="1" spans="1:34">
      <c r="A724" s="135"/>
      <c r="B724" s="136"/>
      <c r="C724" s="137"/>
      <c r="D724" s="136"/>
      <c r="E724" s="136"/>
      <c r="F724" s="136"/>
      <c r="G724" s="136"/>
      <c r="H724" s="138"/>
      <c r="I724" s="136"/>
      <c r="J724" s="136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39"/>
      <c r="AA724" s="139"/>
      <c r="AB724" s="139"/>
      <c r="AC724" s="139"/>
      <c r="AD724" s="139"/>
      <c r="AE724" s="139"/>
      <c r="AF724" s="139"/>
      <c r="AG724" s="139"/>
      <c r="AH724" s="139"/>
    </row>
    <row r="725" ht="22.5" customHeight="1" spans="1:34">
      <c r="A725" s="130"/>
      <c r="B725" s="131"/>
      <c r="C725" s="132"/>
      <c r="D725" s="131"/>
      <c r="E725" s="131"/>
      <c r="F725" s="131"/>
      <c r="G725" s="131"/>
      <c r="H725" s="133"/>
      <c r="I725" s="131"/>
      <c r="J725" s="131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  <c r="AA725" s="134"/>
      <c r="AB725" s="134"/>
      <c r="AC725" s="134"/>
      <c r="AD725" s="134"/>
      <c r="AE725" s="134"/>
      <c r="AF725" s="134"/>
      <c r="AG725" s="134"/>
      <c r="AH725" s="134"/>
    </row>
    <row r="726" ht="22.5" customHeight="1" spans="1:34">
      <c r="A726" s="135"/>
      <c r="B726" s="136"/>
      <c r="C726" s="137"/>
      <c r="D726" s="136"/>
      <c r="E726" s="136"/>
      <c r="F726" s="136"/>
      <c r="G726" s="136"/>
      <c r="H726" s="138"/>
      <c r="I726" s="136"/>
      <c r="J726" s="136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39"/>
      <c r="AA726" s="139"/>
      <c r="AB726" s="139"/>
      <c r="AC726" s="139"/>
      <c r="AD726" s="139"/>
      <c r="AE726" s="139"/>
      <c r="AF726" s="139"/>
      <c r="AG726" s="139"/>
      <c r="AH726" s="139"/>
    </row>
    <row r="727" ht="22.5" customHeight="1" spans="1:34">
      <c r="A727" s="130"/>
      <c r="B727" s="131"/>
      <c r="C727" s="132"/>
      <c r="D727" s="131"/>
      <c r="E727" s="131"/>
      <c r="F727" s="131"/>
      <c r="G727" s="131"/>
      <c r="H727" s="133"/>
      <c r="I727" s="131"/>
      <c r="J727" s="131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  <c r="AA727" s="134"/>
      <c r="AB727" s="134"/>
      <c r="AC727" s="134"/>
      <c r="AD727" s="134"/>
      <c r="AE727" s="134"/>
      <c r="AF727" s="134"/>
      <c r="AG727" s="134"/>
      <c r="AH727" s="134"/>
    </row>
    <row r="728" ht="22.5" customHeight="1" spans="1:34">
      <c r="A728" s="135"/>
      <c r="B728" s="136"/>
      <c r="C728" s="137"/>
      <c r="D728" s="136"/>
      <c r="E728" s="136"/>
      <c r="F728" s="136"/>
      <c r="G728" s="136"/>
      <c r="H728" s="138"/>
      <c r="I728" s="136"/>
      <c r="J728" s="136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39"/>
      <c r="AA728" s="139"/>
      <c r="AB728" s="139"/>
      <c r="AC728" s="139"/>
      <c r="AD728" s="139"/>
      <c r="AE728" s="139"/>
      <c r="AF728" s="139"/>
      <c r="AG728" s="139"/>
      <c r="AH728" s="139"/>
    </row>
    <row r="729" ht="22.5" customHeight="1" spans="1:34">
      <c r="A729" s="130"/>
      <c r="B729" s="131"/>
      <c r="C729" s="132"/>
      <c r="D729" s="131"/>
      <c r="E729" s="131"/>
      <c r="F729" s="131"/>
      <c r="G729" s="131"/>
      <c r="H729" s="133"/>
      <c r="I729" s="131"/>
      <c r="J729" s="131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  <c r="AA729" s="134"/>
      <c r="AB729" s="134"/>
      <c r="AC729" s="134"/>
      <c r="AD729" s="134"/>
      <c r="AE729" s="134"/>
      <c r="AF729" s="134"/>
      <c r="AG729" s="134"/>
      <c r="AH729" s="134"/>
    </row>
    <row r="730" ht="22.5" customHeight="1" spans="1:34">
      <c r="A730" s="135"/>
      <c r="B730" s="136"/>
      <c r="C730" s="137"/>
      <c r="D730" s="136"/>
      <c r="E730" s="136"/>
      <c r="F730" s="136"/>
      <c r="G730" s="136"/>
      <c r="H730" s="138"/>
      <c r="I730" s="136"/>
      <c r="J730" s="136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39"/>
      <c r="AA730" s="139"/>
      <c r="AB730" s="139"/>
      <c r="AC730" s="139"/>
      <c r="AD730" s="139"/>
      <c r="AE730" s="139"/>
      <c r="AF730" s="139"/>
      <c r="AG730" s="139"/>
      <c r="AH730" s="139"/>
    </row>
    <row r="731" ht="22.5" customHeight="1" spans="1:34">
      <c r="A731" s="130"/>
      <c r="B731" s="131"/>
      <c r="C731" s="132"/>
      <c r="D731" s="131"/>
      <c r="E731" s="131"/>
      <c r="F731" s="131"/>
      <c r="G731" s="131"/>
      <c r="H731" s="133"/>
      <c r="I731" s="131"/>
      <c r="J731" s="131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  <c r="AA731" s="134"/>
      <c r="AB731" s="134"/>
      <c r="AC731" s="134"/>
      <c r="AD731" s="134"/>
      <c r="AE731" s="134"/>
      <c r="AF731" s="134"/>
      <c r="AG731" s="134"/>
      <c r="AH731" s="134"/>
    </row>
    <row r="732" ht="22.5" customHeight="1" spans="1:34">
      <c r="A732" s="135"/>
      <c r="B732" s="136"/>
      <c r="C732" s="137"/>
      <c r="D732" s="136"/>
      <c r="E732" s="136"/>
      <c r="F732" s="136"/>
      <c r="G732" s="136"/>
      <c r="H732" s="138"/>
      <c r="I732" s="136"/>
      <c r="J732" s="136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39"/>
      <c r="AA732" s="139"/>
      <c r="AB732" s="139"/>
      <c r="AC732" s="139"/>
      <c r="AD732" s="139"/>
      <c r="AE732" s="139"/>
      <c r="AF732" s="139"/>
      <c r="AG732" s="139"/>
      <c r="AH732" s="139"/>
    </row>
    <row r="733" ht="22.5" customHeight="1" spans="1:34">
      <c r="A733" s="130"/>
      <c r="B733" s="131"/>
      <c r="C733" s="132"/>
      <c r="D733" s="131"/>
      <c r="E733" s="131"/>
      <c r="F733" s="131"/>
      <c r="G733" s="131"/>
      <c r="H733" s="133"/>
      <c r="I733" s="131"/>
      <c r="J733" s="131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  <c r="AA733" s="134"/>
      <c r="AB733" s="134"/>
      <c r="AC733" s="134"/>
      <c r="AD733" s="134"/>
      <c r="AE733" s="134"/>
      <c r="AF733" s="134"/>
      <c r="AG733" s="134"/>
      <c r="AH733" s="134"/>
    </row>
    <row r="734" ht="22.5" customHeight="1" spans="1:34">
      <c r="A734" s="135"/>
      <c r="B734" s="136"/>
      <c r="C734" s="137"/>
      <c r="D734" s="136"/>
      <c r="E734" s="136"/>
      <c r="F734" s="136"/>
      <c r="G734" s="136"/>
      <c r="H734" s="138"/>
      <c r="I734" s="136"/>
      <c r="J734" s="136"/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39"/>
      <c r="AA734" s="139"/>
      <c r="AB734" s="139"/>
      <c r="AC734" s="139"/>
      <c r="AD734" s="139"/>
      <c r="AE734" s="139"/>
      <c r="AF734" s="139"/>
      <c r="AG734" s="139"/>
      <c r="AH734" s="139"/>
    </row>
    <row r="735" ht="22.5" customHeight="1" spans="1:34">
      <c r="A735" s="130"/>
      <c r="B735" s="131"/>
      <c r="C735" s="132"/>
      <c r="D735" s="131"/>
      <c r="E735" s="131"/>
      <c r="F735" s="131"/>
      <c r="G735" s="131"/>
      <c r="H735" s="133"/>
      <c r="I735" s="131"/>
      <c r="J735" s="131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  <c r="AA735" s="134"/>
      <c r="AB735" s="134"/>
      <c r="AC735" s="134"/>
      <c r="AD735" s="134"/>
      <c r="AE735" s="134"/>
      <c r="AF735" s="134"/>
      <c r="AG735" s="134"/>
      <c r="AH735" s="134"/>
    </row>
    <row r="736" ht="22.5" customHeight="1" spans="1:34">
      <c r="A736" s="135"/>
      <c r="B736" s="136"/>
      <c r="C736" s="137"/>
      <c r="D736" s="136"/>
      <c r="E736" s="136"/>
      <c r="F736" s="136"/>
      <c r="G736" s="136"/>
      <c r="H736" s="138"/>
      <c r="I736" s="136"/>
      <c r="J736" s="136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39"/>
      <c r="AA736" s="139"/>
      <c r="AB736" s="139"/>
      <c r="AC736" s="139"/>
      <c r="AD736" s="139"/>
      <c r="AE736" s="139"/>
      <c r="AF736" s="139"/>
      <c r="AG736" s="139"/>
      <c r="AH736" s="139"/>
    </row>
    <row r="737" ht="22.5" customHeight="1" spans="1:34">
      <c r="A737" s="130"/>
      <c r="B737" s="131"/>
      <c r="C737" s="132"/>
      <c r="D737" s="131"/>
      <c r="E737" s="131"/>
      <c r="F737" s="131"/>
      <c r="G737" s="131"/>
      <c r="H737" s="133"/>
      <c r="I737" s="131"/>
      <c r="J737" s="131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  <c r="AA737" s="134"/>
      <c r="AB737" s="134"/>
      <c r="AC737" s="134"/>
      <c r="AD737" s="134"/>
      <c r="AE737" s="134"/>
      <c r="AF737" s="134"/>
      <c r="AG737" s="134"/>
      <c r="AH737" s="134"/>
    </row>
    <row r="738" ht="22.5" customHeight="1" spans="1:34">
      <c r="A738" s="135"/>
      <c r="B738" s="136"/>
      <c r="C738" s="137"/>
      <c r="D738" s="136"/>
      <c r="E738" s="136"/>
      <c r="F738" s="136"/>
      <c r="G738" s="136"/>
      <c r="H738" s="138"/>
      <c r="I738" s="136"/>
      <c r="J738" s="136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39"/>
      <c r="AA738" s="139"/>
      <c r="AB738" s="139"/>
      <c r="AC738" s="139"/>
      <c r="AD738" s="139"/>
      <c r="AE738" s="139"/>
      <c r="AF738" s="139"/>
      <c r="AG738" s="139"/>
      <c r="AH738" s="139"/>
    </row>
    <row r="739" ht="22.5" customHeight="1" spans="1:34">
      <c r="A739" s="130"/>
      <c r="B739" s="131"/>
      <c r="C739" s="132"/>
      <c r="D739" s="131"/>
      <c r="E739" s="131"/>
      <c r="F739" s="131"/>
      <c r="G739" s="131"/>
      <c r="H739" s="133"/>
      <c r="I739" s="131"/>
      <c r="J739" s="131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  <c r="AA739" s="134"/>
      <c r="AB739" s="134"/>
      <c r="AC739" s="134"/>
      <c r="AD739" s="134"/>
      <c r="AE739" s="134"/>
      <c r="AF739" s="134"/>
      <c r="AG739" s="134"/>
      <c r="AH739" s="134"/>
    </row>
    <row r="740" ht="22.5" customHeight="1" spans="1:34">
      <c r="A740" s="135"/>
      <c r="B740" s="136"/>
      <c r="C740" s="137"/>
      <c r="D740" s="136"/>
      <c r="E740" s="136"/>
      <c r="F740" s="136"/>
      <c r="G740" s="136"/>
      <c r="H740" s="138"/>
      <c r="I740" s="136"/>
      <c r="J740" s="136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39"/>
      <c r="AA740" s="139"/>
      <c r="AB740" s="139"/>
      <c r="AC740" s="139"/>
      <c r="AD740" s="139"/>
      <c r="AE740" s="139"/>
      <c r="AF740" s="139"/>
      <c r="AG740" s="139"/>
      <c r="AH740" s="139"/>
    </row>
    <row r="741" ht="22.5" customHeight="1" spans="1:34">
      <c r="A741" s="130"/>
      <c r="B741" s="131"/>
      <c r="C741" s="132"/>
      <c r="D741" s="131"/>
      <c r="E741" s="131"/>
      <c r="F741" s="131"/>
      <c r="G741" s="131"/>
      <c r="H741" s="133"/>
      <c r="I741" s="131"/>
      <c r="J741" s="131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  <c r="AA741" s="134"/>
      <c r="AB741" s="134"/>
      <c r="AC741" s="134"/>
      <c r="AD741" s="134"/>
      <c r="AE741" s="134"/>
      <c r="AF741" s="134"/>
      <c r="AG741" s="134"/>
      <c r="AH741" s="134"/>
    </row>
    <row r="742" ht="22.5" customHeight="1" spans="1:34">
      <c r="A742" s="135"/>
      <c r="B742" s="136"/>
      <c r="C742" s="137"/>
      <c r="D742" s="136"/>
      <c r="E742" s="136"/>
      <c r="F742" s="136"/>
      <c r="G742" s="136"/>
      <c r="H742" s="138"/>
      <c r="I742" s="136"/>
      <c r="J742" s="136"/>
      <c r="K742" s="139"/>
      <c r="L742" s="139"/>
      <c r="M742" s="139"/>
      <c r="N742" s="139"/>
      <c r="O742" s="139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39"/>
      <c r="AA742" s="139"/>
      <c r="AB742" s="139"/>
      <c r="AC742" s="139"/>
      <c r="AD742" s="139"/>
      <c r="AE742" s="139"/>
      <c r="AF742" s="139"/>
      <c r="AG742" s="139"/>
      <c r="AH742" s="139"/>
    </row>
    <row r="743" ht="22.5" customHeight="1" spans="1:34">
      <c r="A743" s="130"/>
      <c r="B743" s="131"/>
      <c r="C743" s="132"/>
      <c r="D743" s="131"/>
      <c r="E743" s="131"/>
      <c r="F743" s="131"/>
      <c r="G743" s="131"/>
      <c r="H743" s="133"/>
      <c r="I743" s="131"/>
      <c r="J743" s="131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  <c r="AA743" s="134"/>
      <c r="AB743" s="134"/>
      <c r="AC743" s="134"/>
      <c r="AD743" s="134"/>
      <c r="AE743" s="134"/>
      <c r="AF743" s="134"/>
      <c r="AG743" s="134"/>
      <c r="AH743" s="134"/>
    </row>
    <row r="744" ht="22.5" customHeight="1" spans="1:34">
      <c r="A744" s="135"/>
      <c r="B744" s="136"/>
      <c r="C744" s="137"/>
      <c r="D744" s="136"/>
      <c r="E744" s="136"/>
      <c r="F744" s="136"/>
      <c r="G744" s="136"/>
      <c r="H744" s="138"/>
      <c r="I744" s="136"/>
      <c r="J744" s="136"/>
      <c r="K744" s="139"/>
      <c r="L744" s="139"/>
      <c r="M744" s="139"/>
      <c r="N744" s="139"/>
      <c r="O744" s="139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39"/>
      <c r="AA744" s="139"/>
      <c r="AB744" s="139"/>
      <c r="AC744" s="139"/>
      <c r="AD744" s="139"/>
      <c r="AE744" s="139"/>
      <c r="AF744" s="139"/>
      <c r="AG744" s="139"/>
      <c r="AH744" s="139"/>
    </row>
    <row r="745" ht="22.5" customHeight="1" spans="1:34">
      <c r="A745" s="130"/>
      <c r="B745" s="131"/>
      <c r="C745" s="132"/>
      <c r="D745" s="131"/>
      <c r="E745" s="131"/>
      <c r="F745" s="131"/>
      <c r="G745" s="131"/>
      <c r="H745" s="133"/>
      <c r="I745" s="131"/>
      <c r="J745" s="131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  <c r="AA745" s="134"/>
      <c r="AB745" s="134"/>
      <c r="AC745" s="134"/>
      <c r="AD745" s="134"/>
      <c r="AE745" s="134"/>
      <c r="AF745" s="134"/>
      <c r="AG745" s="134"/>
      <c r="AH745" s="134"/>
    </row>
    <row r="746" ht="22.5" customHeight="1" spans="1:34">
      <c r="A746" s="135"/>
      <c r="B746" s="136"/>
      <c r="C746" s="137"/>
      <c r="D746" s="136"/>
      <c r="E746" s="136"/>
      <c r="F746" s="136"/>
      <c r="G746" s="136"/>
      <c r="H746" s="138"/>
      <c r="I746" s="136"/>
      <c r="J746" s="136"/>
      <c r="K746" s="139"/>
      <c r="L746" s="139"/>
      <c r="M746" s="139"/>
      <c r="N746" s="139"/>
      <c r="O746" s="139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39"/>
      <c r="AA746" s="139"/>
      <c r="AB746" s="139"/>
      <c r="AC746" s="139"/>
      <c r="AD746" s="139"/>
      <c r="AE746" s="139"/>
      <c r="AF746" s="139"/>
      <c r="AG746" s="139"/>
      <c r="AH746" s="139"/>
    </row>
    <row r="747" ht="22.5" customHeight="1" spans="1:34">
      <c r="A747" s="130"/>
      <c r="B747" s="131"/>
      <c r="C747" s="132"/>
      <c r="D747" s="131"/>
      <c r="E747" s="131"/>
      <c r="F747" s="131"/>
      <c r="G747" s="131"/>
      <c r="H747" s="133"/>
      <c r="I747" s="131"/>
      <c r="J747" s="131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  <c r="AA747" s="134"/>
      <c r="AB747" s="134"/>
      <c r="AC747" s="134"/>
      <c r="AD747" s="134"/>
      <c r="AE747" s="134"/>
      <c r="AF747" s="134"/>
      <c r="AG747" s="134"/>
      <c r="AH747" s="134"/>
    </row>
    <row r="748" ht="22.5" customHeight="1" spans="1:34">
      <c r="A748" s="135"/>
      <c r="B748" s="136"/>
      <c r="C748" s="137"/>
      <c r="D748" s="136"/>
      <c r="E748" s="136"/>
      <c r="F748" s="136"/>
      <c r="G748" s="136"/>
      <c r="H748" s="138"/>
      <c r="I748" s="136"/>
      <c r="J748" s="136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39"/>
      <c r="AA748" s="139"/>
      <c r="AB748" s="139"/>
      <c r="AC748" s="139"/>
      <c r="AD748" s="139"/>
      <c r="AE748" s="139"/>
      <c r="AF748" s="139"/>
      <c r="AG748" s="139"/>
      <c r="AH748" s="139"/>
    </row>
    <row r="749" ht="22.5" customHeight="1" spans="1:34">
      <c r="A749" s="130"/>
      <c r="B749" s="131"/>
      <c r="C749" s="132"/>
      <c r="D749" s="131"/>
      <c r="E749" s="131"/>
      <c r="F749" s="131"/>
      <c r="G749" s="131"/>
      <c r="H749" s="133"/>
      <c r="I749" s="131"/>
      <c r="J749" s="131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  <c r="AA749" s="134"/>
      <c r="AB749" s="134"/>
      <c r="AC749" s="134"/>
      <c r="AD749" s="134"/>
      <c r="AE749" s="134"/>
      <c r="AF749" s="134"/>
      <c r="AG749" s="134"/>
      <c r="AH749" s="134"/>
    </row>
    <row r="750" ht="22.5" customHeight="1" spans="1:34">
      <c r="A750" s="135"/>
      <c r="B750" s="136"/>
      <c r="C750" s="137"/>
      <c r="D750" s="136"/>
      <c r="E750" s="136"/>
      <c r="F750" s="136"/>
      <c r="G750" s="136"/>
      <c r="H750" s="138"/>
      <c r="I750" s="136"/>
      <c r="J750" s="136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39"/>
      <c r="AA750" s="139"/>
      <c r="AB750" s="139"/>
      <c r="AC750" s="139"/>
      <c r="AD750" s="139"/>
      <c r="AE750" s="139"/>
      <c r="AF750" s="139"/>
      <c r="AG750" s="139"/>
      <c r="AH750" s="139"/>
    </row>
    <row r="751" ht="22.5" customHeight="1" spans="1:34">
      <c r="A751" s="130"/>
      <c r="B751" s="131"/>
      <c r="C751" s="132"/>
      <c r="D751" s="131"/>
      <c r="E751" s="131"/>
      <c r="F751" s="131"/>
      <c r="G751" s="131"/>
      <c r="H751" s="133"/>
      <c r="I751" s="131"/>
      <c r="J751" s="131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  <c r="AA751" s="134"/>
      <c r="AB751" s="134"/>
      <c r="AC751" s="134"/>
      <c r="AD751" s="134"/>
      <c r="AE751" s="134"/>
      <c r="AF751" s="134"/>
      <c r="AG751" s="134"/>
      <c r="AH751" s="134"/>
    </row>
    <row r="752" ht="22.5" customHeight="1" spans="1:34">
      <c r="A752" s="135"/>
      <c r="B752" s="136"/>
      <c r="C752" s="137"/>
      <c r="D752" s="136"/>
      <c r="E752" s="136"/>
      <c r="F752" s="136"/>
      <c r="G752" s="136"/>
      <c r="H752" s="138"/>
      <c r="I752" s="136"/>
      <c r="J752" s="136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39"/>
      <c r="AA752" s="139"/>
      <c r="AB752" s="139"/>
      <c r="AC752" s="139"/>
      <c r="AD752" s="139"/>
      <c r="AE752" s="139"/>
      <c r="AF752" s="139"/>
      <c r="AG752" s="139"/>
      <c r="AH752" s="139"/>
    </row>
    <row r="753" ht="22.5" customHeight="1" spans="1:34">
      <c r="A753" s="130"/>
      <c r="B753" s="131"/>
      <c r="C753" s="132"/>
      <c r="D753" s="131"/>
      <c r="E753" s="131"/>
      <c r="F753" s="131"/>
      <c r="G753" s="131"/>
      <c r="H753" s="133"/>
      <c r="I753" s="131"/>
      <c r="J753" s="131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  <c r="AA753" s="134"/>
      <c r="AB753" s="134"/>
      <c r="AC753" s="134"/>
      <c r="AD753" s="134"/>
      <c r="AE753" s="134"/>
      <c r="AF753" s="134"/>
      <c r="AG753" s="134"/>
      <c r="AH753" s="134"/>
    </row>
    <row r="754" ht="22.5" customHeight="1" spans="1:34">
      <c r="A754" s="135"/>
      <c r="B754" s="136"/>
      <c r="C754" s="137"/>
      <c r="D754" s="136"/>
      <c r="E754" s="136"/>
      <c r="F754" s="136"/>
      <c r="G754" s="136"/>
      <c r="H754" s="138"/>
      <c r="I754" s="136"/>
      <c r="J754" s="136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39"/>
      <c r="AA754" s="139"/>
      <c r="AB754" s="139"/>
      <c r="AC754" s="139"/>
      <c r="AD754" s="139"/>
      <c r="AE754" s="139"/>
      <c r="AF754" s="139"/>
      <c r="AG754" s="139"/>
      <c r="AH754" s="139"/>
    </row>
    <row r="755" ht="22.5" customHeight="1" spans="1:34">
      <c r="A755" s="130"/>
      <c r="B755" s="131"/>
      <c r="C755" s="132"/>
      <c r="D755" s="131"/>
      <c r="E755" s="131"/>
      <c r="F755" s="131"/>
      <c r="G755" s="131"/>
      <c r="H755" s="133"/>
      <c r="I755" s="131"/>
      <c r="J755" s="131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4"/>
      <c r="AC755" s="134"/>
      <c r="AD755" s="134"/>
      <c r="AE755" s="134"/>
      <c r="AF755" s="134"/>
      <c r="AG755" s="134"/>
      <c r="AH755" s="134"/>
    </row>
    <row r="756" ht="22.5" customHeight="1" spans="1:34">
      <c r="A756" s="135"/>
      <c r="B756" s="136"/>
      <c r="C756" s="137"/>
      <c r="D756" s="136"/>
      <c r="E756" s="136"/>
      <c r="F756" s="136"/>
      <c r="G756" s="136"/>
      <c r="H756" s="138"/>
      <c r="I756" s="136"/>
      <c r="J756" s="136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39"/>
      <c r="AA756" s="139"/>
      <c r="AB756" s="139"/>
      <c r="AC756" s="139"/>
      <c r="AD756" s="139"/>
      <c r="AE756" s="139"/>
      <c r="AF756" s="139"/>
      <c r="AG756" s="139"/>
      <c r="AH756" s="139"/>
    </row>
    <row r="757" ht="22.5" customHeight="1" spans="1:34">
      <c r="A757" s="130"/>
      <c r="B757" s="131"/>
      <c r="C757" s="132"/>
      <c r="D757" s="131"/>
      <c r="E757" s="131"/>
      <c r="F757" s="131"/>
      <c r="G757" s="131"/>
      <c r="H757" s="133"/>
      <c r="I757" s="131"/>
      <c r="J757" s="131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  <c r="AA757" s="134"/>
      <c r="AB757" s="134"/>
      <c r="AC757" s="134"/>
      <c r="AD757" s="134"/>
      <c r="AE757" s="134"/>
      <c r="AF757" s="134"/>
      <c r="AG757" s="134"/>
      <c r="AH757" s="134"/>
    </row>
    <row r="758" ht="22.5" customHeight="1" spans="1:34">
      <c r="A758" s="135"/>
      <c r="B758" s="136"/>
      <c r="C758" s="137"/>
      <c r="D758" s="136"/>
      <c r="E758" s="136"/>
      <c r="F758" s="136"/>
      <c r="G758" s="136"/>
      <c r="H758" s="138"/>
      <c r="I758" s="136"/>
      <c r="J758" s="136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39"/>
      <c r="AA758" s="139"/>
      <c r="AB758" s="139"/>
      <c r="AC758" s="139"/>
      <c r="AD758" s="139"/>
      <c r="AE758" s="139"/>
      <c r="AF758" s="139"/>
      <c r="AG758" s="139"/>
      <c r="AH758" s="139"/>
    </row>
    <row r="759" ht="22.5" customHeight="1" spans="1:34">
      <c r="A759" s="130"/>
      <c r="B759" s="131"/>
      <c r="C759" s="132"/>
      <c r="D759" s="131"/>
      <c r="E759" s="131"/>
      <c r="F759" s="131"/>
      <c r="G759" s="131"/>
      <c r="H759" s="133"/>
      <c r="I759" s="131"/>
      <c r="J759" s="131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  <c r="AA759" s="134"/>
      <c r="AB759" s="134"/>
      <c r="AC759" s="134"/>
      <c r="AD759" s="134"/>
      <c r="AE759" s="134"/>
      <c r="AF759" s="134"/>
      <c r="AG759" s="134"/>
      <c r="AH759" s="134"/>
    </row>
    <row r="760" ht="22.5" customHeight="1" spans="1:34">
      <c r="A760" s="135"/>
      <c r="B760" s="136"/>
      <c r="C760" s="137"/>
      <c r="D760" s="136"/>
      <c r="E760" s="136"/>
      <c r="F760" s="136"/>
      <c r="G760" s="136"/>
      <c r="H760" s="138"/>
      <c r="I760" s="136"/>
      <c r="J760" s="136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39"/>
      <c r="AA760" s="139"/>
      <c r="AB760" s="139"/>
      <c r="AC760" s="139"/>
      <c r="AD760" s="139"/>
      <c r="AE760" s="139"/>
      <c r="AF760" s="139"/>
      <c r="AG760" s="139"/>
      <c r="AH760" s="139"/>
    </row>
    <row r="761" ht="22.5" customHeight="1" spans="1:34">
      <c r="A761" s="130"/>
      <c r="B761" s="131"/>
      <c r="C761" s="132"/>
      <c r="D761" s="131"/>
      <c r="E761" s="131"/>
      <c r="F761" s="131"/>
      <c r="G761" s="131"/>
      <c r="H761" s="133"/>
      <c r="I761" s="131"/>
      <c r="J761" s="131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  <c r="AA761" s="134"/>
      <c r="AB761" s="134"/>
      <c r="AC761" s="134"/>
      <c r="AD761" s="134"/>
      <c r="AE761" s="134"/>
      <c r="AF761" s="134"/>
      <c r="AG761" s="134"/>
      <c r="AH761" s="134"/>
    </row>
    <row r="762" ht="22.5" customHeight="1" spans="1:34">
      <c r="A762" s="135"/>
      <c r="B762" s="136"/>
      <c r="C762" s="137"/>
      <c r="D762" s="136"/>
      <c r="E762" s="136"/>
      <c r="F762" s="136"/>
      <c r="G762" s="136"/>
      <c r="H762" s="138"/>
      <c r="I762" s="136"/>
      <c r="J762" s="136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39"/>
      <c r="AA762" s="139"/>
      <c r="AB762" s="139"/>
      <c r="AC762" s="139"/>
      <c r="AD762" s="139"/>
      <c r="AE762" s="139"/>
      <c r="AF762" s="139"/>
      <c r="AG762" s="139"/>
      <c r="AH762" s="139"/>
    </row>
    <row r="763" ht="22.5" customHeight="1" spans="1:34">
      <c r="A763" s="130"/>
      <c r="B763" s="131"/>
      <c r="C763" s="132"/>
      <c r="D763" s="131"/>
      <c r="E763" s="131"/>
      <c r="F763" s="131"/>
      <c r="G763" s="131"/>
      <c r="H763" s="133"/>
      <c r="I763" s="131"/>
      <c r="J763" s="131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  <c r="AA763" s="134"/>
      <c r="AB763" s="134"/>
      <c r="AC763" s="134"/>
      <c r="AD763" s="134"/>
      <c r="AE763" s="134"/>
      <c r="AF763" s="134"/>
      <c r="AG763" s="134"/>
      <c r="AH763" s="134"/>
    </row>
    <row r="764" ht="22.5" customHeight="1" spans="1:34">
      <c r="A764" s="135"/>
      <c r="B764" s="136"/>
      <c r="C764" s="137"/>
      <c r="D764" s="136"/>
      <c r="E764" s="136"/>
      <c r="F764" s="136"/>
      <c r="G764" s="136"/>
      <c r="H764" s="138"/>
      <c r="I764" s="136"/>
      <c r="J764" s="136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39"/>
      <c r="AA764" s="139"/>
      <c r="AB764" s="139"/>
      <c r="AC764" s="139"/>
      <c r="AD764" s="139"/>
      <c r="AE764" s="139"/>
      <c r="AF764" s="139"/>
      <c r="AG764" s="139"/>
      <c r="AH764" s="139"/>
    </row>
    <row r="765" ht="22.5" customHeight="1" spans="1:34">
      <c r="A765" s="130"/>
      <c r="B765" s="131"/>
      <c r="C765" s="132"/>
      <c r="D765" s="131"/>
      <c r="E765" s="131"/>
      <c r="F765" s="131"/>
      <c r="G765" s="131"/>
      <c r="H765" s="133"/>
      <c r="I765" s="131"/>
      <c r="J765" s="131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  <c r="AA765" s="134"/>
      <c r="AB765" s="134"/>
      <c r="AC765" s="134"/>
      <c r="AD765" s="134"/>
      <c r="AE765" s="134"/>
      <c r="AF765" s="134"/>
      <c r="AG765" s="134"/>
      <c r="AH765" s="134"/>
    </row>
    <row r="766" ht="22.5" customHeight="1" spans="1:34">
      <c r="A766" s="135"/>
      <c r="B766" s="136"/>
      <c r="C766" s="137"/>
      <c r="D766" s="136"/>
      <c r="E766" s="136"/>
      <c r="F766" s="136"/>
      <c r="G766" s="136"/>
      <c r="H766" s="138"/>
      <c r="I766" s="136"/>
      <c r="J766" s="136"/>
      <c r="K766" s="139"/>
      <c r="L766" s="139"/>
      <c r="M766" s="139"/>
      <c r="N766" s="139"/>
      <c r="O766" s="139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39"/>
      <c r="AA766" s="139"/>
      <c r="AB766" s="139"/>
      <c r="AC766" s="139"/>
      <c r="AD766" s="139"/>
      <c r="AE766" s="139"/>
      <c r="AF766" s="139"/>
      <c r="AG766" s="139"/>
      <c r="AH766" s="139"/>
    </row>
    <row r="767" ht="22.5" customHeight="1" spans="1:34">
      <c r="A767" s="130"/>
      <c r="B767" s="131"/>
      <c r="C767" s="132"/>
      <c r="D767" s="131"/>
      <c r="E767" s="131"/>
      <c r="F767" s="131"/>
      <c r="G767" s="131"/>
      <c r="H767" s="133"/>
      <c r="I767" s="131"/>
      <c r="J767" s="131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4"/>
      <c r="AC767" s="134"/>
      <c r="AD767" s="134"/>
      <c r="AE767" s="134"/>
      <c r="AF767" s="134"/>
      <c r="AG767" s="134"/>
      <c r="AH767" s="134"/>
    </row>
    <row r="768" ht="22.5" customHeight="1" spans="1:34">
      <c r="A768" s="135"/>
      <c r="B768" s="136"/>
      <c r="C768" s="137"/>
      <c r="D768" s="136"/>
      <c r="E768" s="136"/>
      <c r="F768" s="136"/>
      <c r="G768" s="136"/>
      <c r="H768" s="138"/>
      <c r="I768" s="136"/>
      <c r="J768" s="136"/>
      <c r="K768" s="139"/>
      <c r="L768" s="139"/>
      <c r="M768" s="139"/>
      <c r="N768" s="139"/>
      <c r="O768" s="139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39"/>
      <c r="AA768" s="139"/>
      <c r="AB768" s="139"/>
      <c r="AC768" s="139"/>
      <c r="AD768" s="139"/>
      <c r="AE768" s="139"/>
      <c r="AF768" s="139"/>
      <c r="AG768" s="139"/>
      <c r="AH768" s="139"/>
    </row>
    <row r="769" ht="22.5" customHeight="1" spans="1:34">
      <c r="A769" s="130"/>
      <c r="B769" s="131"/>
      <c r="C769" s="132"/>
      <c r="D769" s="131"/>
      <c r="E769" s="131"/>
      <c r="F769" s="131"/>
      <c r="G769" s="131"/>
      <c r="H769" s="133"/>
      <c r="I769" s="131"/>
      <c r="J769" s="131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  <c r="AA769" s="134"/>
      <c r="AB769" s="134"/>
      <c r="AC769" s="134"/>
      <c r="AD769" s="134"/>
      <c r="AE769" s="134"/>
      <c r="AF769" s="134"/>
      <c r="AG769" s="134"/>
      <c r="AH769" s="134"/>
    </row>
    <row r="770" ht="22.5" customHeight="1" spans="1:34">
      <c r="A770" s="135"/>
      <c r="B770" s="136"/>
      <c r="C770" s="137"/>
      <c r="D770" s="136"/>
      <c r="E770" s="136"/>
      <c r="F770" s="136"/>
      <c r="G770" s="136"/>
      <c r="H770" s="138"/>
      <c r="I770" s="136"/>
      <c r="J770" s="136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39"/>
      <c r="AA770" s="139"/>
      <c r="AB770" s="139"/>
      <c r="AC770" s="139"/>
      <c r="AD770" s="139"/>
      <c r="AE770" s="139"/>
      <c r="AF770" s="139"/>
      <c r="AG770" s="139"/>
      <c r="AH770" s="139"/>
    </row>
    <row r="771" ht="22.5" customHeight="1" spans="1:34">
      <c r="A771" s="130"/>
      <c r="B771" s="131"/>
      <c r="C771" s="132"/>
      <c r="D771" s="131"/>
      <c r="E771" s="131"/>
      <c r="F771" s="131"/>
      <c r="G771" s="131"/>
      <c r="H771" s="133"/>
      <c r="I771" s="131"/>
      <c r="J771" s="131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  <c r="AA771" s="134"/>
      <c r="AB771" s="134"/>
      <c r="AC771" s="134"/>
      <c r="AD771" s="134"/>
      <c r="AE771" s="134"/>
      <c r="AF771" s="134"/>
      <c r="AG771" s="134"/>
      <c r="AH771" s="134"/>
    </row>
    <row r="772" ht="22.5" customHeight="1" spans="1:34">
      <c r="A772" s="135"/>
      <c r="B772" s="136"/>
      <c r="C772" s="137"/>
      <c r="D772" s="136"/>
      <c r="E772" s="136"/>
      <c r="F772" s="136"/>
      <c r="G772" s="136"/>
      <c r="H772" s="138"/>
      <c r="I772" s="136"/>
      <c r="J772" s="136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39"/>
      <c r="AA772" s="139"/>
      <c r="AB772" s="139"/>
      <c r="AC772" s="139"/>
      <c r="AD772" s="139"/>
      <c r="AE772" s="139"/>
      <c r="AF772" s="139"/>
      <c r="AG772" s="139"/>
      <c r="AH772" s="139"/>
    </row>
    <row r="773" ht="22.5" customHeight="1" spans="1:34">
      <c r="A773" s="130"/>
      <c r="B773" s="131"/>
      <c r="C773" s="132"/>
      <c r="D773" s="131"/>
      <c r="E773" s="131"/>
      <c r="F773" s="131"/>
      <c r="G773" s="131"/>
      <c r="H773" s="133"/>
      <c r="I773" s="131"/>
      <c r="J773" s="131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  <c r="AA773" s="134"/>
      <c r="AB773" s="134"/>
      <c r="AC773" s="134"/>
      <c r="AD773" s="134"/>
      <c r="AE773" s="134"/>
      <c r="AF773" s="134"/>
      <c r="AG773" s="134"/>
      <c r="AH773" s="134"/>
    </row>
    <row r="774" ht="22.5" customHeight="1" spans="1:34">
      <c r="A774" s="135"/>
      <c r="B774" s="136"/>
      <c r="C774" s="137"/>
      <c r="D774" s="136"/>
      <c r="E774" s="136"/>
      <c r="F774" s="136"/>
      <c r="G774" s="136"/>
      <c r="H774" s="138"/>
      <c r="I774" s="136"/>
      <c r="J774" s="136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39"/>
      <c r="AA774" s="139"/>
      <c r="AB774" s="139"/>
      <c r="AC774" s="139"/>
      <c r="AD774" s="139"/>
      <c r="AE774" s="139"/>
      <c r="AF774" s="139"/>
      <c r="AG774" s="139"/>
      <c r="AH774" s="139"/>
    </row>
    <row r="775" ht="22.5" customHeight="1" spans="1:34">
      <c r="A775" s="130"/>
      <c r="B775" s="131"/>
      <c r="C775" s="132"/>
      <c r="D775" s="131"/>
      <c r="E775" s="131"/>
      <c r="F775" s="131"/>
      <c r="G775" s="131"/>
      <c r="H775" s="133"/>
      <c r="I775" s="131"/>
      <c r="J775" s="131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4"/>
      <c r="AC775" s="134"/>
      <c r="AD775" s="134"/>
      <c r="AE775" s="134"/>
      <c r="AF775" s="134"/>
      <c r="AG775" s="134"/>
      <c r="AH775" s="134"/>
    </row>
    <row r="776" ht="22.5" customHeight="1" spans="1:34">
      <c r="A776" s="135"/>
      <c r="B776" s="136"/>
      <c r="C776" s="137"/>
      <c r="D776" s="136"/>
      <c r="E776" s="136"/>
      <c r="F776" s="136"/>
      <c r="G776" s="136"/>
      <c r="H776" s="138"/>
      <c r="I776" s="136"/>
      <c r="J776" s="136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39"/>
      <c r="AA776" s="139"/>
      <c r="AB776" s="139"/>
      <c r="AC776" s="139"/>
      <c r="AD776" s="139"/>
      <c r="AE776" s="139"/>
      <c r="AF776" s="139"/>
      <c r="AG776" s="139"/>
      <c r="AH776" s="139"/>
    </row>
    <row r="777" ht="22.5" customHeight="1" spans="1:34">
      <c r="A777" s="130"/>
      <c r="B777" s="131"/>
      <c r="C777" s="132"/>
      <c r="D777" s="131"/>
      <c r="E777" s="131"/>
      <c r="F777" s="131"/>
      <c r="G777" s="131"/>
      <c r="H777" s="133"/>
      <c r="I777" s="131"/>
      <c r="J777" s="131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4"/>
      <c r="AC777" s="134"/>
      <c r="AD777" s="134"/>
      <c r="AE777" s="134"/>
      <c r="AF777" s="134"/>
      <c r="AG777" s="134"/>
      <c r="AH777" s="134"/>
    </row>
    <row r="778" ht="22.5" customHeight="1" spans="1:34">
      <c r="A778" s="135"/>
      <c r="B778" s="136"/>
      <c r="C778" s="137"/>
      <c r="D778" s="136"/>
      <c r="E778" s="136"/>
      <c r="F778" s="136"/>
      <c r="G778" s="136"/>
      <c r="H778" s="138"/>
      <c r="I778" s="136"/>
      <c r="J778" s="136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39"/>
      <c r="AA778" s="139"/>
      <c r="AB778" s="139"/>
      <c r="AC778" s="139"/>
      <c r="AD778" s="139"/>
      <c r="AE778" s="139"/>
      <c r="AF778" s="139"/>
      <c r="AG778" s="139"/>
      <c r="AH778" s="139"/>
    </row>
    <row r="779" ht="22.5" customHeight="1" spans="1:34">
      <c r="A779" s="130"/>
      <c r="B779" s="131"/>
      <c r="C779" s="132"/>
      <c r="D779" s="131"/>
      <c r="E779" s="131"/>
      <c r="F779" s="131"/>
      <c r="G779" s="131"/>
      <c r="H779" s="133"/>
      <c r="I779" s="131"/>
      <c r="J779" s="131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  <c r="AA779" s="134"/>
      <c r="AB779" s="134"/>
      <c r="AC779" s="134"/>
      <c r="AD779" s="134"/>
      <c r="AE779" s="134"/>
      <c r="AF779" s="134"/>
      <c r="AG779" s="134"/>
      <c r="AH779" s="134"/>
    </row>
    <row r="780" ht="22.5" customHeight="1" spans="1:34">
      <c r="A780" s="135"/>
      <c r="B780" s="136"/>
      <c r="C780" s="137"/>
      <c r="D780" s="136"/>
      <c r="E780" s="136"/>
      <c r="F780" s="136"/>
      <c r="G780" s="136"/>
      <c r="H780" s="138"/>
      <c r="I780" s="136"/>
      <c r="J780" s="136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39"/>
      <c r="AA780" s="139"/>
      <c r="AB780" s="139"/>
      <c r="AC780" s="139"/>
      <c r="AD780" s="139"/>
      <c r="AE780" s="139"/>
      <c r="AF780" s="139"/>
      <c r="AG780" s="139"/>
      <c r="AH780" s="139"/>
    </row>
    <row r="781" ht="22.5" customHeight="1" spans="1:34">
      <c r="A781" s="130"/>
      <c r="B781" s="131"/>
      <c r="C781" s="132"/>
      <c r="D781" s="131"/>
      <c r="E781" s="131"/>
      <c r="F781" s="131"/>
      <c r="G781" s="131"/>
      <c r="H781" s="133"/>
      <c r="I781" s="131"/>
      <c r="J781" s="131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  <c r="AA781" s="134"/>
      <c r="AB781" s="134"/>
      <c r="AC781" s="134"/>
      <c r="AD781" s="134"/>
      <c r="AE781" s="134"/>
      <c r="AF781" s="134"/>
      <c r="AG781" s="134"/>
      <c r="AH781" s="134"/>
    </row>
    <row r="782" ht="22.5" customHeight="1" spans="1:34">
      <c r="A782" s="135"/>
      <c r="B782" s="136"/>
      <c r="C782" s="137"/>
      <c r="D782" s="136"/>
      <c r="E782" s="136"/>
      <c r="F782" s="136"/>
      <c r="G782" s="136"/>
      <c r="H782" s="138"/>
      <c r="I782" s="136"/>
      <c r="J782" s="136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39"/>
      <c r="AA782" s="139"/>
      <c r="AB782" s="139"/>
      <c r="AC782" s="139"/>
      <c r="AD782" s="139"/>
      <c r="AE782" s="139"/>
      <c r="AF782" s="139"/>
      <c r="AG782" s="139"/>
      <c r="AH782" s="139"/>
    </row>
    <row r="783" ht="22.5" customHeight="1" spans="1:34">
      <c r="A783" s="130"/>
      <c r="B783" s="131"/>
      <c r="C783" s="132"/>
      <c r="D783" s="131"/>
      <c r="E783" s="131"/>
      <c r="F783" s="131"/>
      <c r="G783" s="131"/>
      <c r="H783" s="133"/>
      <c r="I783" s="131"/>
      <c r="J783" s="131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  <c r="AA783" s="134"/>
      <c r="AB783" s="134"/>
      <c r="AC783" s="134"/>
      <c r="AD783" s="134"/>
      <c r="AE783" s="134"/>
      <c r="AF783" s="134"/>
      <c r="AG783" s="134"/>
      <c r="AH783" s="134"/>
    </row>
    <row r="784" ht="22.5" customHeight="1" spans="1:34">
      <c r="A784" s="135"/>
      <c r="B784" s="136"/>
      <c r="C784" s="137"/>
      <c r="D784" s="136"/>
      <c r="E784" s="136"/>
      <c r="F784" s="136"/>
      <c r="G784" s="136"/>
      <c r="H784" s="138"/>
      <c r="I784" s="136"/>
      <c r="J784" s="136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39"/>
      <c r="AA784" s="139"/>
      <c r="AB784" s="139"/>
      <c r="AC784" s="139"/>
      <c r="AD784" s="139"/>
      <c r="AE784" s="139"/>
      <c r="AF784" s="139"/>
      <c r="AG784" s="139"/>
      <c r="AH784" s="139"/>
    </row>
    <row r="785" ht="22.5" customHeight="1" spans="1:34">
      <c r="A785" s="130"/>
      <c r="B785" s="131"/>
      <c r="C785" s="132"/>
      <c r="D785" s="131"/>
      <c r="E785" s="131"/>
      <c r="F785" s="131"/>
      <c r="G785" s="131"/>
      <c r="H785" s="133"/>
      <c r="I785" s="131"/>
      <c r="J785" s="131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  <c r="AA785" s="134"/>
      <c r="AB785" s="134"/>
      <c r="AC785" s="134"/>
      <c r="AD785" s="134"/>
      <c r="AE785" s="134"/>
      <c r="AF785" s="134"/>
      <c r="AG785" s="134"/>
      <c r="AH785" s="134"/>
    </row>
    <row r="786" ht="22.5" customHeight="1" spans="1:34">
      <c r="A786" s="135"/>
      <c r="B786" s="136"/>
      <c r="C786" s="137"/>
      <c r="D786" s="136"/>
      <c r="E786" s="136"/>
      <c r="F786" s="136"/>
      <c r="G786" s="136"/>
      <c r="H786" s="138"/>
      <c r="I786" s="136"/>
      <c r="J786" s="136"/>
      <c r="K786" s="139"/>
      <c r="L786" s="139"/>
      <c r="M786" s="139"/>
      <c r="N786" s="139"/>
      <c r="O786" s="139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39"/>
      <c r="AA786" s="139"/>
      <c r="AB786" s="139"/>
      <c r="AC786" s="139"/>
      <c r="AD786" s="139"/>
      <c r="AE786" s="139"/>
      <c r="AF786" s="139"/>
      <c r="AG786" s="139"/>
      <c r="AH786" s="139"/>
    </row>
    <row r="787" ht="22.5" customHeight="1" spans="1:34">
      <c r="A787" s="130"/>
      <c r="B787" s="131"/>
      <c r="C787" s="132"/>
      <c r="D787" s="131"/>
      <c r="E787" s="131"/>
      <c r="F787" s="131"/>
      <c r="G787" s="131"/>
      <c r="H787" s="133"/>
      <c r="I787" s="131"/>
      <c r="J787" s="131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  <c r="AA787" s="134"/>
      <c r="AB787" s="134"/>
      <c r="AC787" s="134"/>
      <c r="AD787" s="134"/>
      <c r="AE787" s="134"/>
      <c r="AF787" s="134"/>
      <c r="AG787" s="134"/>
      <c r="AH787" s="134"/>
    </row>
    <row r="788" ht="22.5" customHeight="1" spans="1:34">
      <c r="A788" s="135"/>
      <c r="B788" s="136"/>
      <c r="C788" s="137"/>
      <c r="D788" s="136"/>
      <c r="E788" s="136"/>
      <c r="F788" s="136"/>
      <c r="G788" s="136"/>
      <c r="H788" s="138"/>
      <c r="I788" s="136"/>
      <c r="J788" s="136"/>
      <c r="K788" s="139"/>
      <c r="L788" s="139"/>
      <c r="M788" s="139"/>
      <c r="N788" s="139"/>
      <c r="O788" s="139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39"/>
      <c r="AA788" s="139"/>
      <c r="AB788" s="139"/>
      <c r="AC788" s="139"/>
      <c r="AD788" s="139"/>
      <c r="AE788" s="139"/>
      <c r="AF788" s="139"/>
      <c r="AG788" s="139"/>
      <c r="AH788" s="139"/>
    </row>
    <row r="789" ht="22.5" customHeight="1" spans="1:34">
      <c r="A789" s="130"/>
      <c r="B789" s="131"/>
      <c r="C789" s="132"/>
      <c r="D789" s="131"/>
      <c r="E789" s="131"/>
      <c r="F789" s="131"/>
      <c r="G789" s="131"/>
      <c r="H789" s="133"/>
      <c r="I789" s="131"/>
      <c r="J789" s="131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  <c r="AA789" s="134"/>
      <c r="AB789" s="134"/>
      <c r="AC789" s="134"/>
      <c r="AD789" s="134"/>
      <c r="AE789" s="134"/>
      <c r="AF789" s="134"/>
      <c r="AG789" s="134"/>
      <c r="AH789" s="134"/>
    </row>
    <row r="790" ht="22.5" customHeight="1" spans="1:34">
      <c r="A790" s="135"/>
      <c r="B790" s="136"/>
      <c r="C790" s="137"/>
      <c r="D790" s="136"/>
      <c r="E790" s="136"/>
      <c r="F790" s="136"/>
      <c r="G790" s="136"/>
      <c r="H790" s="138"/>
      <c r="I790" s="136"/>
      <c r="J790" s="136"/>
      <c r="K790" s="139"/>
      <c r="L790" s="139"/>
      <c r="M790" s="139"/>
      <c r="N790" s="139"/>
      <c r="O790" s="139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39"/>
      <c r="AA790" s="139"/>
      <c r="AB790" s="139"/>
      <c r="AC790" s="139"/>
      <c r="AD790" s="139"/>
      <c r="AE790" s="139"/>
      <c r="AF790" s="139"/>
      <c r="AG790" s="139"/>
      <c r="AH790" s="139"/>
    </row>
    <row r="791" ht="22.5" customHeight="1" spans="1:34">
      <c r="A791" s="130"/>
      <c r="B791" s="131"/>
      <c r="C791" s="132"/>
      <c r="D791" s="131"/>
      <c r="E791" s="131"/>
      <c r="F791" s="131"/>
      <c r="G791" s="131"/>
      <c r="H791" s="133"/>
      <c r="I791" s="131"/>
      <c r="J791" s="131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  <c r="AA791" s="134"/>
      <c r="AB791" s="134"/>
      <c r="AC791" s="134"/>
      <c r="AD791" s="134"/>
      <c r="AE791" s="134"/>
      <c r="AF791" s="134"/>
      <c r="AG791" s="134"/>
      <c r="AH791" s="134"/>
    </row>
    <row r="792" ht="22.5" customHeight="1" spans="1:34">
      <c r="A792" s="135"/>
      <c r="B792" s="136"/>
      <c r="C792" s="137"/>
      <c r="D792" s="136"/>
      <c r="E792" s="136"/>
      <c r="F792" s="136"/>
      <c r="G792" s="136"/>
      <c r="H792" s="138"/>
      <c r="I792" s="136"/>
      <c r="J792" s="136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39"/>
      <c r="AA792" s="139"/>
      <c r="AB792" s="139"/>
      <c r="AC792" s="139"/>
      <c r="AD792" s="139"/>
      <c r="AE792" s="139"/>
      <c r="AF792" s="139"/>
      <c r="AG792" s="139"/>
      <c r="AH792" s="139"/>
    </row>
    <row r="793" ht="22.5" customHeight="1" spans="1:34">
      <c r="A793" s="130"/>
      <c r="B793" s="131"/>
      <c r="C793" s="132"/>
      <c r="D793" s="131"/>
      <c r="E793" s="131"/>
      <c r="F793" s="131"/>
      <c r="G793" s="131"/>
      <c r="H793" s="133"/>
      <c r="I793" s="131"/>
      <c r="J793" s="131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  <c r="AA793" s="134"/>
      <c r="AB793" s="134"/>
      <c r="AC793" s="134"/>
      <c r="AD793" s="134"/>
      <c r="AE793" s="134"/>
      <c r="AF793" s="134"/>
      <c r="AG793" s="134"/>
      <c r="AH793" s="134"/>
    </row>
    <row r="794" ht="22.5" customHeight="1" spans="1:34">
      <c r="A794" s="135"/>
      <c r="B794" s="136"/>
      <c r="C794" s="137"/>
      <c r="D794" s="136"/>
      <c r="E794" s="136"/>
      <c r="F794" s="136"/>
      <c r="G794" s="136"/>
      <c r="H794" s="138"/>
      <c r="I794" s="136"/>
      <c r="J794" s="136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39"/>
      <c r="AA794" s="139"/>
      <c r="AB794" s="139"/>
      <c r="AC794" s="139"/>
      <c r="AD794" s="139"/>
      <c r="AE794" s="139"/>
      <c r="AF794" s="139"/>
      <c r="AG794" s="139"/>
      <c r="AH794" s="139"/>
    </row>
    <row r="795" ht="22.5" customHeight="1" spans="1:34">
      <c r="A795" s="130"/>
      <c r="B795" s="131"/>
      <c r="C795" s="132"/>
      <c r="D795" s="131"/>
      <c r="E795" s="131"/>
      <c r="F795" s="131"/>
      <c r="G795" s="131"/>
      <c r="H795" s="133"/>
      <c r="I795" s="131"/>
      <c r="J795" s="131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  <c r="AA795" s="134"/>
      <c r="AB795" s="134"/>
      <c r="AC795" s="134"/>
      <c r="AD795" s="134"/>
      <c r="AE795" s="134"/>
      <c r="AF795" s="134"/>
      <c r="AG795" s="134"/>
      <c r="AH795" s="134"/>
    </row>
    <row r="796" ht="22.5" customHeight="1" spans="1:34">
      <c r="A796" s="135"/>
      <c r="B796" s="136"/>
      <c r="C796" s="137"/>
      <c r="D796" s="136"/>
      <c r="E796" s="136"/>
      <c r="F796" s="136"/>
      <c r="G796" s="136"/>
      <c r="H796" s="138"/>
      <c r="I796" s="136"/>
      <c r="J796" s="136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39"/>
      <c r="AA796" s="139"/>
      <c r="AB796" s="139"/>
      <c r="AC796" s="139"/>
      <c r="AD796" s="139"/>
      <c r="AE796" s="139"/>
      <c r="AF796" s="139"/>
      <c r="AG796" s="139"/>
      <c r="AH796" s="139"/>
    </row>
    <row r="797" ht="22.5" customHeight="1" spans="1:34">
      <c r="A797" s="130"/>
      <c r="B797" s="131"/>
      <c r="C797" s="132"/>
      <c r="D797" s="131"/>
      <c r="E797" s="131"/>
      <c r="F797" s="131"/>
      <c r="G797" s="131"/>
      <c r="H797" s="133"/>
      <c r="I797" s="131"/>
      <c r="J797" s="131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  <c r="AA797" s="134"/>
      <c r="AB797" s="134"/>
      <c r="AC797" s="134"/>
      <c r="AD797" s="134"/>
      <c r="AE797" s="134"/>
      <c r="AF797" s="134"/>
      <c r="AG797" s="134"/>
      <c r="AH797" s="134"/>
    </row>
    <row r="798" ht="22.5" customHeight="1" spans="1:34">
      <c r="A798" s="135"/>
      <c r="B798" s="136"/>
      <c r="C798" s="137"/>
      <c r="D798" s="136"/>
      <c r="E798" s="136"/>
      <c r="F798" s="136"/>
      <c r="G798" s="136"/>
      <c r="H798" s="138"/>
      <c r="I798" s="136"/>
      <c r="J798" s="136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39"/>
      <c r="AA798" s="139"/>
      <c r="AB798" s="139"/>
      <c r="AC798" s="139"/>
      <c r="AD798" s="139"/>
      <c r="AE798" s="139"/>
      <c r="AF798" s="139"/>
      <c r="AG798" s="139"/>
      <c r="AH798" s="139"/>
    </row>
    <row r="799" ht="22.5" customHeight="1" spans="1:34">
      <c r="A799" s="130"/>
      <c r="B799" s="131"/>
      <c r="C799" s="132"/>
      <c r="D799" s="131"/>
      <c r="E799" s="131"/>
      <c r="F799" s="131"/>
      <c r="G799" s="131"/>
      <c r="H799" s="133"/>
      <c r="I799" s="131"/>
      <c r="J799" s="131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  <c r="AA799" s="134"/>
      <c r="AB799" s="134"/>
      <c r="AC799" s="134"/>
      <c r="AD799" s="134"/>
      <c r="AE799" s="134"/>
      <c r="AF799" s="134"/>
      <c r="AG799" s="134"/>
      <c r="AH799" s="134"/>
    </row>
    <row r="800" ht="22.5" customHeight="1" spans="1:34">
      <c r="A800" s="135"/>
      <c r="B800" s="136"/>
      <c r="C800" s="137"/>
      <c r="D800" s="136"/>
      <c r="E800" s="136"/>
      <c r="F800" s="136"/>
      <c r="G800" s="136"/>
      <c r="H800" s="138"/>
      <c r="I800" s="136"/>
      <c r="J800" s="136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39"/>
      <c r="AA800" s="139"/>
      <c r="AB800" s="139"/>
      <c r="AC800" s="139"/>
      <c r="AD800" s="139"/>
      <c r="AE800" s="139"/>
      <c r="AF800" s="139"/>
      <c r="AG800" s="139"/>
      <c r="AH800" s="139"/>
    </row>
    <row r="801" ht="22.5" customHeight="1" spans="1:34">
      <c r="A801" s="130"/>
      <c r="B801" s="131"/>
      <c r="C801" s="132"/>
      <c r="D801" s="131"/>
      <c r="E801" s="131"/>
      <c r="F801" s="131"/>
      <c r="G801" s="131"/>
      <c r="H801" s="133"/>
      <c r="I801" s="131"/>
      <c r="J801" s="131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  <c r="AA801" s="134"/>
      <c r="AB801" s="134"/>
      <c r="AC801" s="134"/>
      <c r="AD801" s="134"/>
      <c r="AE801" s="134"/>
      <c r="AF801" s="134"/>
      <c r="AG801" s="134"/>
      <c r="AH801" s="134"/>
    </row>
    <row r="802" ht="22.5" customHeight="1" spans="1:34">
      <c r="A802" s="135"/>
      <c r="B802" s="136"/>
      <c r="C802" s="137"/>
      <c r="D802" s="136"/>
      <c r="E802" s="136"/>
      <c r="F802" s="136"/>
      <c r="G802" s="136"/>
      <c r="H802" s="138"/>
      <c r="I802" s="136"/>
      <c r="J802" s="136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39"/>
      <c r="AA802" s="139"/>
      <c r="AB802" s="139"/>
      <c r="AC802" s="139"/>
      <c r="AD802" s="139"/>
      <c r="AE802" s="139"/>
      <c r="AF802" s="139"/>
      <c r="AG802" s="139"/>
      <c r="AH802" s="139"/>
    </row>
    <row r="803" ht="22.5" customHeight="1" spans="1:34">
      <c r="A803" s="130"/>
      <c r="B803" s="131"/>
      <c r="C803" s="132"/>
      <c r="D803" s="131"/>
      <c r="E803" s="131"/>
      <c r="F803" s="131"/>
      <c r="G803" s="131"/>
      <c r="H803" s="133"/>
      <c r="I803" s="131"/>
      <c r="J803" s="131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  <c r="AA803" s="134"/>
      <c r="AB803" s="134"/>
      <c r="AC803" s="134"/>
      <c r="AD803" s="134"/>
      <c r="AE803" s="134"/>
      <c r="AF803" s="134"/>
      <c r="AG803" s="134"/>
      <c r="AH803" s="134"/>
    </row>
    <row r="804" ht="22.5" customHeight="1" spans="1:34">
      <c r="A804" s="135"/>
      <c r="B804" s="136"/>
      <c r="C804" s="137"/>
      <c r="D804" s="136"/>
      <c r="E804" s="136"/>
      <c r="F804" s="136"/>
      <c r="G804" s="136"/>
      <c r="H804" s="138"/>
      <c r="I804" s="136"/>
      <c r="J804" s="136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39"/>
      <c r="AA804" s="139"/>
      <c r="AB804" s="139"/>
      <c r="AC804" s="139"/>
      <c r="AD804" s="139"/>
      <c r="AE804" s="139"/>
      <c r="AF804" s="139"/>
      <c r="AG804" s="139"/>
      <c r="AH804" s="139"/>
    </row>
    <row r="805" ht="22.5" customHeight="1" spans="1:34">
      <c r="A805" s="130"/>
      <c r="B805" s="131"/>
      <c r="C805" s="132"/>
      <c r="D805" s="131"/>
      <c r="E805" s="131"/>
      <c r="F805" s="131"/>
      <c r="G805" s="131"/>
      <c r="H805" s="133"/>
      <c r="I805" s="131"/>
      <c r="J805" s="131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4"/>
      <c r="AC805" s="134"/>
      <c r="AD805" s="134"/>
      <c r="AE805" s="134"/>
      <c r="AF805" s="134"/>
      <c r="AG805" s="134"/>
      <c r="AH805" s="134"/>
    </row>
    <row r="806" ht="22.5" customHeight="1" spans="1:34">
      <c r="A806" s="135"/>
      <c r="B806" s="136"/>
      <c r="C806" s="137"/>
      <c r="D806" s="136"/>
      <c r="E806" s="136"/>
      <c r="F806" s="136"/>
      <c r="G806" s="136"/>
      <c r="H806" s="138"/>
      <c r="I806" s="136"/>
      <c r="J806" s="136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39"/>
      <c r="AA806" s="139"/>
      <c r="AB806" s="139"/>
      <c r="AC806" s="139"/>
      <c r="AD806" s="139"/>
      <c r="AE806" s="139"/>
      <c r="AF806" s="139"/>
      <c r="AG806" s="139"/>
      <c r="AH806" s="139"/>
    </row>
    <row r="807" ht="22.5" customHeight="1" spans="1:34">
      <c r="A807" s="130"/>
      <c r="B807" s="131"/>
      <c r="C807" s="132"/>
      <c r="D807" s="131"/>
      <c r="E807" s="131"/>
      <c r="F807" s="131"/>
      <c r="G807" s="131"/>
      <c r="H807" s="133"/>
      <c r="I807" s="131"/>
      <c r="J807" s="131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  <c r="AA807" s="134"/>
      <c r="AB807" s="134"/>
      <c r="AC807" s="134"/>
      <c r="AD807" s="134"/>
      <c r="AE807" s="134"/>
      <c r="AF807" s="134"/>
      <c r="AG807" s="134"/>
      <c r="AH807" s="134"/>
    </row>
    <row r="808" ht="22.5" customHeight="1" spans="1:34">
      <c r="A808" s="135"/>
      <c r="B808" s="136"/>
      <c r="C808" s="137"/>
      <c r="D808" s="136"/>
      <c r="E808" s="136"/>
      <c r="F808" s="136"/>
      <c r="G808" s="136"/>
      <c r="H808" s="138"/>
      <c r="I808" s="136"/>
      <c r="J808" s="136"/>
      <c r="K808" s="139"/>
      <c r="L808" s="139"/>
      <c r="M808" s="139"/>
      <c r="N808" s="139"/>
      <c r="O808" s="139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39"/>
      <c r="AA808" s="139"/>
      <c r="AB808" s="139"/>
      <c r="AC808" s="139"/>
      <c r="AD808" s="139"/>
      <c r="AE808" s="139"/>
      <c r="AF808" s="139"/>
      <c r="AG808" s="139"/>
      <c r="AH808" s="139"/>
    </row>
    <row r="809" ht="22.5" customHeight="1" spans="1:34">
      <c r="A809" s="130"/>
      <c r="B809" s="131"/>
      <c r="C809" s="132"/>
      <c r="D809" s="131"/>
      <c r="E809" s="131"/>
      <c r="F809" s="131"/>
      <c r="G809" s="131"/>
      <c r="H809" s="133"/>
      <c r="I809" s="131"/>
      <c r="J809" s="131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  <c r="AA809" s="134"/>
      <c r="AB809" s="134"/>
      <c r="AC809" s="134"/>
      <c r="AD809" s="134"/>
      <c r="AE809" s="134"/>
      <c r="AF809" s="134"/>
      <c r="AG809" s="134"/>
      <c r="AH809" s="134"/>
    </row>
    <row r="810" ht="22.5" customHeight="1" spans="1:34">
      <c r="A810" s="135"/>
      <c r="B810" s="136"/>
      <c r="C810" s="137"/>
      <c r="D810" s="136"/>
      <c r="E810" s="136"/>
      <c r="F810" s="136"/>
      <c r="G810" s="136"/>
      <c r="H810" s="138"/>
      <c r="I810" s="136"/>
      <c r="J810" s="136"/>
      <c r="K810" s="139"/>
      <c r="L810" s="139"/>
      <c r="M810" s="139"/>
      <c r="N810" s="139"/>
      <c r="O810" s="139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39"/>
      <c r="AA810" s="139"/>
      <c r="AB810" s="139"/>
      <c r="AC810" s="139"/>
      <c r="AD810" s="139"/>
      <c r="AE810" s="139"/>
      <c r="AF810" s="139"/>
      <c r="AG810" s="139"/>
      <c r="AH810" s="139"/>
    </row>
    <row r="811" ht="22.5" customHeight="1" spans="1:34">
      <c r="A811" s="130"/>
      <c r="B811" s="131"/>
      <c r="C811" s="132"/>
      <c r="D811" s="131"/>
      <c r="E811" s="131"/>
      <c r="F811" s="131"/>
      <c r="G811" s="131"/>
      <c r="H811" s="133"/>
      <c r="I811" s="131"/>
      <c r="J811" s="131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  <c r="AA811" s="134"/>
      <c r="AB811" s="134"/>
      <c r="AC811" s="134"/>
      <c r="AD811" s="134"/>
      <c r="AE811" s="134"/>
      <c r="AF811" s="134"/>
      <c r="AG811" s="134"/>
      <c r="AH811" s="134"/>
    </row>
    <row r="812" ht="22.5" customHeight="1" spans="1:34">
      <c r="A812" s="135"/>
      <c r="B812" s="136"/>
      <c r="C812" s="137"/>
      <c r="D812" s="136"/>
      <c r="E812" s="136"/>
      <c r="F812" s="136"/>
      <c r="G812" s="136"/>
      <c r="H812" s="138"/>
      <c r="I812" s="136"/>
      <c r="J812" s="136"/>
      <c r="K812" s="139"/>
      <c r="L812" s="139"/>
      <c r="M812" s="139"/>
      <c r="N812" s="139"/>
      <c r="O812" s="139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39"/>
      <c r="AA812" s="139"/>
      <c r="AB812" s="139"/>
      <c r="AC812" s="139"/>
      <c r="AD812" s="139"/>
      <c r="AE812" s="139"/>
      <c r="AF812" s="139"/>
      <c r="AG812" s="139"/>
      <c r="AH812" s="139"/>
    </row>
    <row r="813" ht="22.5" customHeight="1" spans="1:34">
      <c r="A813" s="130"/>
      <c r="B813" s="131"/>
      <c r="C813" s="132"/>
      <c r="D813" s="131"/>
      <c r="E813" s="131"/>
      <c r="F813" s="131"/>
      <c r="G813" s="131"/>
      <c r="H813" s="133"/>
      <c r="I813" s="131"/>
      <c r="J813" s="131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  <c r="AA813" s="134"/>
      <c r="AB813" s="134"/>
      <c r="AC813" s="134"/>
      <c r="AD813" s="134"/>
      <c r="AE813" s="134"/>
      <c r="AF813" s="134"/>
      <c r="AG813" s="134"/>
      <c r="AH813" s="134"/>
    </row>
    <row r="814" ht="22.5" customHeight="1" spans="1:34">
      <c r="A814" s="135"/>
      <c r="B814" s="136"/>
      <c r="C814" s="137"/>
      <c r="D814" s="136"/>
      <c r="E814" s="136"/>
      <c r="F814" s="136"/>
      <c r="G814" s="136"/>
      <c r="H814" s="138"/>
      <c r="I814" s="136"/>
      <c r="J814" s="136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39"/>
      <c r="AA814" s="139"/>
      <c r="AB814" s="139"/>
      <c r="AC814" s="139"/>
      <c r="AD814" s="139"/>
      <c r="AE814" s="139"/>
      <c r="AF814" s="139"/>
      <c r="AG814" s="139"/>
      <c r="AH814" s="139"/>
    </row>
    <row r="815" ht="22.5" customHeight="1" spans="1:34">
      <c r="A815" s="130"/>
      <c r="B815" s="131"/>
      <c r="C815" s="132"/>
      <c r="D815" s="131"/>
      <c r="E815" s="131"/>
      <c r="F815" s="131"/>
      <c r="G815" s="131"/>
      <c r="H815" s="133"/>
      <c r="I815" s="131"/>
      <c r="J815" s="131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  <c r="AA815" s="134"/>
      <c r="AB815" s="134"/>
      <c r="AC815" s="134"/>
      <c r="AD815" s="134"/>
      <c r="AE815" s="134"/>
      <c r="AF815" s="134"/>
      <c r="AG815" s="134"/>
      <c r="AH815" s="134"/>
    </row>
    <row r="816" ht="22.5" customHeight="1" spans="1:34">
      <c r="A816" s="135"/>
      <c r="B816" s="136"/>
      <c r="C816" s="137"/>
      <c r="D816" s="136"/>
      <c r="E816" s="136"/>
      <c r="F816" s="136"/>
      <c r="G816" s="136"/>
      <c r="H816" s="138"/>
      <c r="I816" s="136"/>
      <c r="J816" s="136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39"/>
      <c r="AA816" s="139"/>
      <c r="AB816" s="139"/>
      <c r="AC816" s="139"/>
      <c r="AD816" s="139"/>
      <c r="AE816" s="139"/>
      <c r="AF816" s="139"/>
      <c r="AG816" s="139"/>
      <c r="AH816" s="139"/>
    </row>
    <row r="817" ht="22.5" customHeight="1" spans="1:34">
      <c r="A817" s="130"/>
      <c r="B817" s="131"/>
      <c r="C817" s="132"/>
      <c r="D817" s="131"/>
      <c r="E817" s="131"/>
      <c r="F817" s="131"/>
      <c r="G817" s="131"/>
      <c r="H817" s="133"/>
      <c r="I817" s="131"/>
      <c r="J817" s="131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4"/>
      <c r="AC817" s="134"/>
      <c r="AD817" s="134"/>
      <c r="AE817" s="134"/>
      <c r="AF817" s="134"/>
      <c r="AG817" s="134"/>
      <c r="AH817" s="134"/>
    </row>
    <row r="818" ht="22.5" customHeight="1" spans="1:34">
      <c r="A818" s="135"/>
      <c r="B818" s="136"/>
      <c r="C818" s="137"/>
      <c r="D818" s="136"/>
      <c r="E818" s="136"/>
      <c r="F818" s="136"/>
      <c r="G818" s="136"/>
      <c r="H818" s="138"/>
      <c r="I818" s="136"/>
      <c r="J818" s="136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39"/>
      <c r="AA818" s="139"/>
      <c r="AB818" s="139"/>
      <c r="AC818" s="139"/>
      <c r="AD818" s="139"/>
      <c r="AE818" s="139"/>
      <c r="AF818" s="139"/>
      <c r="AG818" s="139"/>
      <c r="AH818" s="139"/>
    </row>
    <row r="819" ht="22.5" customHeight="1" spans="1:34">
      <c r="A819" s="130"/>
      <c r="B819" s="131"/>
      <c r="C819" s="132"/>
      <c r="D819" s="131"/>
      <c r="E819" s="131"/>
      <c r="F819" s="131"/>
      <c r="G819" s="131"/>
      <c r="H819" s="133"/>
      <c r="I819" s="131"/>
      <c r="J819" s="131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  <c r="AA819" s="134"/>
      <c r="AB819" s="134"/>
      <c r="AC819" s="134"/>
      <c r="AD819" s="134"/>
      <c r="AE819" s="134"/>
      <c r="AF819" s="134"/>
      <c r="AG819" s="134"/>
      <c r="AH819" s="134"/>
    </row>
    <row r="820" ht="22.5" customHeight="1" spans="1:34">
      <c r="A820" s="135"/>
      <c r="B820" s="136"/>
      <c r="C820" s="137"/>
      <c r="D820" s="136"/>
      <c r="E820" s="136"/>
      <c r="F820" s="136"/>
      <c r="G820" s="136"/>
      <c r="H820" s="138"/>
      <c r="I820" s="136"/>
      <c r="J820" s="136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39"/>
      <c r="AA820" s="139"/>
      <c r="AB820" s="139"/>
      <c r="AC820" s="139"/>
      <c r="AD820" s="139"/>
      <c r="AE820" s="139"/>
      <c r="AF820" s="139"/>
      <c r="AG820" s="139"/>
      <c r="AH820" s="139"/>
    </row>
    <row r="821" ht="22.5" customHeight="1" spans="1:34">
      <c r="A821" s="130"/>
      <c r="B821" s="131"/>
      <c r="C821" s="132"/>
      <c r="D821" s="131"/>
      <c r="E821" s="131"/>
      <c r="F821" s="131"/>
      <c r="G821" s="131"/>
      <c r="H821" s="133"/>
      <c r="I821" s="131"/>
      <c r="J821" s="131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  <c r="AA821" s="134"/>
      <c r="AB821" s="134"/>
      <c r="AC821" s="134"/>
      <c r="AD821" s="134"/>
      <c r="AE821" s="134"/>
      <c r="AF821" s="134"/>
      <c r="AG821" s="134"/>
      <c r="AH821" s="134"/>
    </row>
    <row r="822" ht="22.5" customHeight="1" spans="1:34">
      <c r="A822" s="135"/>
      <c r="B822" s="136"/>
      <c r="C822" s="137"/>
      <c r="D822" s="136"/>
      <c r="E822" s="136"/>
      <c r="F822" s="136"/>
      <c r="G822" s="136"/>
      <c r="H822" s="138"/>
      <c r="I822" s="136"/>
      <c r="J822" s="136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39"/>
      <c r="AA822" s="139"/>
      <c r="AB822" s="139"/>
      <c r="AC822" s="139"/>
      <c r="AD822" s="139"/>
      <c r="AE822" s="139"/>
      <c r="AF822" s="139"/>
      <c r="AG822" s="139"/>
      <c r="AH822" s="139"/>
    </row>
    <row r="823" ht="22.5" customHeight="1" spans="1:34">
      <c r="A823" s="130"/>
      <c r="B823" s="131"/>
      <c r="C823" s="132"/>
      <c r="D823" s="131"/>
      <c r="E823" s="131"/>
      <c r="F823" s="131"/>
      <c r="G823" s="131"/>
      <c r="H823" s="133"/>
      <c r="I823" s="131"/>
      <c r="J823" s="131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  <c r="AA823" s="134"/>
      <c r="AB823" s="134"/>
      <c r="AC823" s="134"/>
      <c r="AD823" s="134"/>
      <c r="AE823" s="134"/>
      <c r="AF823" s="134"/>
      <c r="AG823" s="134"/>
      <c r="AH823" s="134"/>
    </row>
    <row r="824" ht="22.5" customHeight="1" spans="1:34">
      <c r="A824" s="135"/>
      <c r="B824" s="136"/>
      <c r="C824" s="137"/>
      <c r="D824" s="136"/>
      <c r="E824" s="136"/>
      <c r="F824" s="136"/>
      <c r="G824" s="136"/>
      <c r="H824" s="138"/>
      <c r="I824" s="136"/>
      <c r="J824" s="136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  <c r="AA824" s="139"/>
      <c r="AB824" s="139"/>
      <c r="AC824" s="139"/>
      <c r="AD824" s="139"/>
      <c r="AE824" s="139"/>
      <c r="AF824" s="139"/>
      <c r="AG824" s="139"/>
      <c r="AH824" s="139"/>
    </row>
    <row r="825" ht="22.5" customHeight="1" spans="1:34">
      <c r="A825" s="130"/>
      <c r="B825" s="131"/>
      <c r="C825" s="132"/>
      <c r="D825" s="131"/>
      <c r="E825" s="131"/>
      <c r="F825" s="131"/>
      <c r="G825" s="131"/>
      <c r="H825" s="133"/>
      <c r="I825" s="131"/>
      <c r="J825" s="131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  <c r="AA825" s="134"/>
      <c r="AB825" s="134"/>
      <c r="AC825" s="134"/>
      <c r="AD825" s="134"/>
      <c r="AE825" s="134"/>
      <c r="AF825" s="134"/>
      <c r="AG825" s="134"/>
      <c r="AH825" s="134"/>
    </row>
    <row r="826" ht="22.5" customHeight="1" spans="1:34">
      <c r="A826" s="135"/>
      <c r="B826" s="136"/>
      <c r="C826" s="137"/>
      <c r="D826" s="136"/>
      <c r="E826" s="136"/>
      <c r="F826" s="136"/>
      <c r="G826" s="136"/>
      <c r="H826" s="138"/>
      <c r="I826" s="136"/>
      <c r="J826" s="136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39"/>
      <c r="AA826" s="139"/>
      <c r="AB826" s="139"/>
      <c r="AC826" s="139"/>
      <c r="AD826" s="139"/>
      <c r="AE826" s="139"/>
      <c r="AF826" s="139"/>
      <c r="AG826" s="139"/>
      <c r="AH826" s="139"/>
    </row>
    <row r="827" ht="22.5" customHeight="1" spans="1:34">
      <c r="A827" s="130"/>
      <c r="B827" s="131"/>
      <c r="C827" s="132"/>
      <c r="D827" s="131"/>
      <c r="E827" s="131"/>
      <c r="F827" s="131"/>
      <c r="G827" s="131"/>
      <c r="H827" s="133"/>
      <c r="I827" s="131"/>
      <c r="J827" s="131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  <c r="AA827" s="134"/>
      <c r="AB827" s="134"/>
      <c r="AC827" s="134"/>
      <c r="AD827" s="134"/>
      <c r="AE827" s="134"/>
      <c r="AF827" s="134"/>
      <c r="AG827" s="134"/>
      <c r="AH827" s="134"/>
    </row>
    <row r="828" ht="22.5" customHeight="1" spans="1:34">
      <c r="A828" s="135"/>
      <c r="B828" s="136"/>
      <c r="C828" s="137"/>
      <c r="D828" s="136"/>
      <c r="E828" s="136"/>
      <c r="F828" s="136"/>
      <c r="G828" s="136"/>
      <c r="H828" s="138"/>
      <c r="I828" s="136"/>
      <c r="J828" s="136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39"/>
      <c r="AA828" s="139"/>
      <c r="AB828" s="139"/>
      <c r="AC828" s="139"/>
      <c r="AD828" s="139"/>
      <c r="AE828" s="139"/>
      <c r="AF828" s="139"/>
      <c r="AG828" s="139"/>
      <c r="AH828" s="139"/>
    </row>
    <row r="829" ht="22.5" customHeight="1" spans="1:34">
      <c r="A829" s="130"/>
      <c r="B829" s="131"/>
      <c r="C829" s="132"/>
      <c r="D829" s="131"/>
      <c r="E829" s="131"/>
      <c r="F829" s="131"/>
      <c r="G829" s="131"/>
      <c r="H829" s="133"/>
      <c r="I829" s="131"/>
      <c r="J829" s="131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  <c r="AA829" s="134"/>
      <c r="AB829" s="134"/>
      <c r="AC829" s="134"/>
      <c r="AD829" s="134"/>
      <c r="AE829" s="134"/>
      <c r="AF829" s="134"/>
      <c r="AG829" s="134"/>
      <c r="AH829" s="134"/>
    </row>
    <row r="830" ht="22.5" customHeight="1" spans="1:34">
      <c r="A830" s="135"/>
      <c r="B830" s="136"/>
      <c r="C830" s="137"/>
      <c r="D830" s="136"/>
      <c r="E830" s="136"/>
      <c r="F830" s="136"/>
      <c r="G830" s="136"/>
      <c r="H830" s="138"/>
      <c r="I830" s="136"/>
      <c r="J830" s="136"/>
      <c r="K830" s="139"/>
      <c r="L830" s="139"/>
      <c r="M830" s="139"/>
      <c r="N830" s="139"/>
      <c r="O830" s="139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39"/>
      <c r="AA830" s="139"/>
      <c r="AB830" s="139"/>
      <c r="AC830" s="139"/>
      <c r="AD830" s="139"/>
      <c r="AE830" s="139"/>
      <c r="AF830" s="139"/>
      <c r="AG830" s="139"/>
      <c r="AH830" s="139"/>
    </row>
    <row r="831" ht="22.5" customHeight="1" spans="1:34">
      <c r="A831" s="130"/>
      <c r="B831" s="131"/>
      <c r="C831" s="132"/>
      <c r="D831" s="131"/>
      <c r="E831" s="131"/>
      <c r="F831" s="131"/>
      <c r="G831" s="131"/>
      <c r="H831" s="133"/>
      <c r="I831" s="131"/>
      <c r="J831" s="131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  <c r="AA831" s="134"/>
      <c r="AB831" s="134"/>
      <c r="AC831" s="134"/>
      <c r="AD831" s="134"/>
      <c r="AE831" s="134"/>
      <c r="AF831" s="134"/>
      <c r="AG831" s="134"/>
      <c r="AH831" s="134"/>
    </row>
    <row r="832" ht="22.5" customHeight="1" spans="1:34">
      <c r="A832" s="135"/>
      <c r="B832" s="136"/>
      <c r="C832" s="137"/>
      <c r="D832" s="136"/>
      <c r="E832" s="136"/>
      <c r="F832" s="136"/>
      <c r="G832" s="136"/>
      <c r="H832" s="138"/>
      <c r="I832" s="136"/>
      <c r="J832" s="136"/>
      <c r="K832" s="139"/>
      <c r="L832" s="139"/>
      <c r="M832" s="139"/>
      <c r="N832" s="139"/>
      <c r="O832" s="139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39"/>
      <c r="AA832" s="139"/>
      <c r="AB832" s="139"/>
      <c r="AC832" s="139"/>
      <c r="AD832" s="139"/>
      <c r="AE832" s="139"/>
      <c r="AF832" s="139"/>
      <c r="AG832" s="139"/>
      <c r="AH832" s="139"/>
    </row>
    <row r="833" ht="22.5" customHeight="1" spans="1:34">
      <c r="A833" s="130"/>
      <c r="B833" s="131"/>
      <c r="C833" s="132"/>
      <c r="D833" s="131"/>
      <c r="E833" s="131"/>
      <c r="F833" s="131"/>
      <c r="G833" s="131"/>
      <c r="H833" s="133"/>
      <c r="I833" s="131"/>
      <c r="J833" s="131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  <c r="AA833" s="134"/>
      <c r="AB833" s="134"/>
      <c r="AC833" s="134"/>
      <c r="AD833" s="134"/>
      <c r="AE833" s="134"/>
      <c r="AF833" s="134"/>
      <c r="AG833" s="134"/>
      <c r="AH833" s="134"/>
    </row>
    <row r="834" ht="22.5" customHeight="1" spans="1:34">
      <c r="A834" s="135"/>
      <c r="B834" s="136"/>
      <c r="C834" s="137"/>
      <c r="D834" s="136"/>
      <c r="E834" s="136"/>
      <c r="F834" s="136"/>
      <c r="G834" s="136"/>
      <c r="H834" s="138"/>
      <c r="I834" s="136"/>
      <c r="J834" s="136"/>
      <c r="K834" s="139"/>
      <c r="L834" s="139"/>
      <c r="M834" s="139"/>
      <c r="N834" s="139"/>
      <c r="O834" s="139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39"/>
      <c r="AA834" s="139"/>
      <c r="AB834" s="139"/>
      <c r="AC834" s="139"/>
      <c r="AD834" s="139"/>
      <c r="AE834" s="139"/>
      <c r="AF834" s="139"/>
      <c r="AG834" s="139"/>
      <c r="AH834" s="139"/>
    </row>
    <row r="835" ht="22.5" customHeight="1" spans="1:34">
      <c r="A835" s="130"/>
      <c r="B835" s="131"/>
      <c r="C835" s="132"/>
      <c r="D835" s="131"/>
      <c r="E835" s="131"/>
      <c r="F835" s="131"/>
      <c r="G835" s="131"/>
      <c r="H835" s="133"/>
      <c r="I835" s="131"/>
      <c r="J835" s="131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  <c r="AA835" s="134"/>
      <c r="AB835" s="134"/>
      <c r="AC835" s="134"/>
      <c r="AD835" s="134"/>
      <c r="AE835" s="134"/>
      <c r="AF835" s="134"/>
      <c r="AG835" s="134"/>
      <c r="AH835" s="134"/>
    </row>
    <row r="836" ht="22.5" customHeight="1" spans="1:34">
      <c r="A836" s="135"/>
      <c r="B836" s="136"/>
      <c r="C836" s="137"/>
      <c r="D836" s="136"/>
      <c r="E836" s="136"/>
      <c r="F836" s="136"/>
      <c r="G836" s="136"/>
      <c r="H836" s="138"/>
      <c r="I836" s="136"/>
      <c r="J836" s="136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39"/>
      <c r="AA836" s="139"/>
      <c r="AB836" s="139"/>
      <c r="AC836" s="139"/>
      <c r="AD836" s="139"/>
      <c r="AE836" s="139"/>
      <c r="AF836" s="139"/>
      <c r="AG836" s="139"/>
      <c r="AH836" s="139"/>
    </row>
    <row r="837" ht="22.5" customHeight="1" spans="1:34">
      <c r="A837" s="130"/>
      <c r="B837" s="131"/>
      <c r="C837" s="132"/>
      <c r="D837" s="131"/>
      <c r="E837" s="131"/>
      <c r="F837" s="131"/>
      <c r="G837" s="131"/>
      <c r="H837" s="133"/>
      <c r="I837" s="131"/>
      <c r="J837" s="131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  <c r="AA837" s="134"/>
      <c r="AB837" s="134"/>
      <c r="AC837" s="134"/>
      <c r="AD837" s="134"/>
      <c r="AE837" s="134"/>
      <c r="AF837" s="134"/>
      <c r="AG837" s="134"/>
      <c r="AH837" s="134"/>
    </row>
    <row r="838" ht="22.5" customHeight="1" spans="1:34">
      <c r="A838" s="135"/>
      <c r="B838" s="136"/>
      <c r="C838" s="137"/>
      <c r="D838" s="136"/>
      <c r="E838" s="136"/>
      <c r="F838" s="136"/>
      <c r="G838" s="136"/>
      <c r="H838" s="138"/>
      <c r="I838" s="136"/>
      <c r="J838" s="136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39"/>
      <c r="AA838" s="139"/>
      <c r="AB838" s="139"/>
      <c r="AC838" s="139"/>
      <c r="AD838" s="139"/>
      <c r="AE838" s="139"/>
      <c r="AF838" s="139"/>
      <c r="AG838" s="139"/>
      <c r="AH838" s="139"/>
    </row>
    <row r="839" ht="22.5" customHeight="1" spans="1:34">
      <c r="A839" s="130"/>
      <c r="B839" s="131"/>
      <c r="C839" s="132"/>
      <c r="D839" s="131"/>
      <c r="E839" s="131"/>
      <c r="F839" s="131"/>
      <c r="G839" s="131"/>
      <c r="H839" s="133"/>
      <c r="I839" s="131"/>
      <c r="J839" s="131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  <c r="AA839" s="134"/>
      <c r="AB839" s="134"/>
      <c r="AC839" s="134"/>
      <c r="AD839" s="134"/>
      <c r="AE839" s="134"/>
      <c r="AF839" s="134"/>
      <c r="AG839" s="134"/>
      <c r="AH839" s="134"/>
    </row>
    <row r="840" ht="22.5" customHeight="1" spans="1:34">
      <c r="A840" s="135"/>
      <c r="B840" s="136"/>
      <c r="C840" s="137"/>
      <c r="D840" s="136"/>
      <c r="E840" s="136"/>
      <c r="F840" s="136"/>
      <c r="G840" s="136"/>
      <c r="H840" s="138"/>
      <c r="I840" s="136"/>
      <c r="J840" s="136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39"/>
      <c r="AA840" s="139"/>
      <c r="AB840" s="139"/>
      <c r="AC840" s="139"/>
      <c r="AD840" s="139"/>
      <c r="AE840" s="139"/>
      <c r="AF840" s="139"/>
      <c r="AG840" s="139"/>
      <c r="AH840" s="139"/>
    </row>
    <row r="841" ht="22.5" customHeight="1" spans="1:34">
      <c r="A841" s="130"/>
      <c r="B841" s="131"/>
      <c r="C841" s="132"/>
      <c r="D841" s="131"/>
      <c r="E841" s="131"/>
      <c r="F841" s="131"/>
      <c r="G841" s="131"/>
      <c r="H841" s="133"/>
      <c r="I841" s="131"/>
      <c r="J841" s="131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  <c r="AA841" s="134"/>
      <c r="AB841" s="134"/>
      <c r="AC841" s="134"/>
      <c r="AD841" s="134"/>
      <c r="AE841" s="134"/>
      <c r="AF841" s="134"/>
      <c r="AG841" s="134"/>
      <c r="AH841" s="134"/>
    </row>
    <row r="842" ht="22.5" customHeight="1" spans="1:34">
      <c r="A842" s="135"/>
      <c r="B842" s="136"/>
      <c r="C842" s="137"/>
      <c r="D842" s="136"/>
      <c r="E842" s="136"/>
      <c r="F842" s="136"/>
      <c r="G842" s="136"/>
      <c r="H842" s="138"/>
      <c r="I842" s="136"/>
      <c r="J842" s="136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39"/>
      <c r="AA842" s="139"/>
      <c r="AB842" s="139"/>
      <c r="AC842" s="139"/>
      <c r="AD842" s="139"/>
      <c r="AE842" s="139"/>
      <c r="AF842" s="139"/>
      <c r="AG842" s="139"/>
      <c r="AH842" s="139"/>
    </row>
    <row r="843" ht="22.5" customHeight="1" spans="1:34">
      <c r="A843" s="130"/>
      <c r="B843" s="131"/>
      <c r="C843" s="132"/>
      <c r="D843" s="131"/>
      <c r="E843" s="131"/>
      <c r="F843" s="131"/>
      <c r="G843" s="131"/>
      <c r="H843" s="133"/>
      <c r="I843" s="131"/>
      <c r="J843" s="131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  <c r="AA843" s="134"/>
      <c r="AB843" s="134"/>
      <c r="AC843" s="134"/>
      <c r="AD843" s="134"/>
      <c r="AE843" s="134"/>
      <c r="AF843" s="134"/>
      <c r="AG843" s="134"/>
      <c r="AH843" s="134"/>
    </row>
    <row r="844" ht="22.5" customHeight="1" spans="1:34">
      <c r="A844" s="135"/>
      <c r="B844" s="136"/>
      <c r="C844" s="137"/>
      <c r="D844" s="136"/>
      <c r="E844" s="136"/>
      <c r="F844" s="136"/>
      <c r="G844" s="136"/>
      <c r="H844" s="138"/>
      <c r="I844" s="136"/>
      <c r="J844" s="136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39"/>
      <c r="AA844" s="139"/>
      <c r="AB844" s="139"/>
      <c r="AC844" s="139"/>
      <c r="AD844" s="139"/>
      <c r="AE844" s="139"/>
      <c r="AF844" s="139"/>
      <c r="AG844" s="139"/>
      <c r="AH844" s="139"/>
    </row>
    <row r="845" ht="22.5" customHeight="1" spans="1:34">
      <c r="A845" s="130"/>
      <c r="B845" s="131"/>
      <c r="C845" s="132"/>
      <c r="D845" s="131"/>
      <c r="E845" s="131"/>
      <c r="F845" s="131"/>
      <c r="G845" s="131"/>
      <c r="H845" s="133"/>
      <c r="I845" s="131"/>
      <c r="J845" s="131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4"/>
      <c r="AC845" s="134"/>
      <c r="AD845" s="134"/>
      <c r="AE845" s="134"/>
      <c r="AF845" s="134"/>
      <c r="AG845" s="134"/>
      <c r="AH845" s="134"/>
    </row>
    <row r="846" ht="22.5" customHeight="1" spans="1:34">
      <c r="A846" s="135"/>
      <c r="B846" s="136"/>
      <c r="C846" s="137"/>
      <c r="D846" s="136"/>
      <c r="E846" s="136"/>
      <c r="F846" s="136"/>
      <c r="G846" s="136"/>
      <c r="H846" s="138"/>
      <c r="I846" s="136"/>
      <c r="J846" s="136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39"/>
      <c r="AA846" s="139"/>
      <c r="AB846" s="139"/>
      <c r="AC846" s="139"/>
      <c r="AD846" s="139"/>
      <c r="AE846" s="139"/>
      <c r="AF846" s="139"/>
      <c r="AG846" s="139"/>
      <c r="AH846" s="139"/>
    </row>
    <row r="847" ht="22.5" customHeight="1" spans="1:34">
      <c r="A847" s="130"/>
      <c r="B847" s="131"/>
      <c r="C847" s="132"/>
      <c r="D847" s="131"/>
      <c r="E847" s="131"/>
      <c r="F847" s="131"/>
      <c r="G847" s="131"/>
      <c r="H847" s="133"/>
      <c r="I847" s="131"/>
      <c r="J847" s="131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  <c r="AA847" s="134"/>
      <c r="AB847" s="134"/>
      <c r="AC847" s="134"/>
      <c r="AD847" s="134"/>
      <c r="AE847" s="134"/>
      <c r="AF847" s="134"/>
      <c r="AG847" s="134"/>
      <c r="AH847" s="134"/>
    </row>
    <row r="848" ht="22.5" customHeight="1" spans="1:34">
      <c r="A848" s="140"/>
      <c r="B848" s="141"/>
      <c r="C848" s="142"/>
      <c r="D848" s="141"/>
      <c r="E848" s="141"/>
      <c r="F848" s="141"/>
      <c r="G848" s="141"/>
      <c r="H848" s="143"/>
      <c r="I848" s="141"/>
      <c r="J848" s="141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39"/>
      <c r="AA848" s="139"/>
      <c r="AB848" s="139"/>
      <c r="AC848" s="139"/>
      <c r="AD848" s="139"/>
      <c r="AE848" s="139"/>
      <c r="AF848" s="139"/>
      <c r="AG848" s="139"/>
      <c r="AH848" s="139"/>
    </row>
  </sheetData>
  <hyperlinks>
    <hyperlink ref="E1" r:id="rId2" display="https://docs.google.com/spreadsheets/d/1vNIkiz5BnQGJhB0rYlcWtvdRawVM8FN0ulC08s8OgtA/edit?usp=drive_web&amp;ouid=118073618687250513844"/>
  </hyperlinks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4.43" defaultRowHeight="15" customHeight="1"/>
  <cols>
    <col min="1" max="1" width="20.57" customWidth="1"/>
    <col min="2" max="2" width="18.14" customWidth="1"/>
    <col min="3" max="3" width="16.42" customWidth="1"/>
    <col min="4" max="4" width="20.86" customWidth="1"/>
    <col min="5" max="5" width="34.58" customWidth="1"/>
    <col min="6" max="6" width="9.58" customWidth="1"/>
    <col min="7" max="7" width="54.14" customWidth="1"/>
    <col min="8" max="8" width="30.57" customWidth="1"/>
    <col min="9" max="26" width="31.71" hidden="1" customWidth="1"/>
  </cols>
  <sheetData>
    <row r="1" ht="29" spans="1:26">
      <c r="A1" s="120" t="s">
        <v>15</v>
      </c>
      <c r="B1" s="121" t="s">
        <v>7</v>
      </c>
      <c r="C1" s="121" t="s">
        <v>16</v>
      </c>
      <c r="D1" s="121" t="s">
        <v>17</v>
      </c>
      <c r="E1" s="121" t="s">
        <v>11</v>
      </c>
      <c r="F1" s="122" t="s">
        <v>18</v>
      </c>
      <c r="G1" s="122" t="s">
        <v>19</v>
      </c>
      <c r="H1" s="122" t="s">
        <v>1</v>
      </c>
      <c r="I1" s="12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" spans="1:26">
      <c r="A2" s="3" t="str">
        <f>dados_01!A2</f>
        <v>24/03/2026 13:31:53</v>
      </c>
      <c r="B2" s="3" t="str">
        <f>dados_01!B2</f>
        <v>1</v>
      </c>
      <c r="C2" s="3" t="str">
        <f>IFERROR(__xludf.dummyfunction("JOIN("". "", ARRAYFORMULA(IFERROR(LEFT(SPLIT(dados_01!C2, "" ""), 1))))"),"M. E. S. F. D. S")</f>
        <v>M. E. S. F. D. S</v>
      </c>
      <c r="D2" s="3" t="str">
        <f>dados_01!D2</f>
        <v>09/06/2024</v>
      </c>
      <c r="E2" s="3" t="str">
        <f>CONCATENATE(LEFT(dados_01!E2,3),REPT("*",6),RIGHT(dados_01!E2,2))</f>
        <v>004******90</v>
      </c>
      <c r="F2" s="3" t="str">
        <f>dados_01!F2</f>
        <v>INFANTIL 1</v>
      </c>
      <c r="G2" s="3" t="str">
        <f>dados_01!G2</f>
        <v>CEMEI DR. PAULO MENDES</v>
      </c>
      <c r="H2" s="3" t="str">
        <f>dados_01!H2</f>
        <v>REGIONAL 7</v>
      </c>
      <c r="I2" s="3">
        <f>dados_01!I2</f>
        <v>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" spans="1:26">
      <c r="A3" s="3" t="str">
        <f>dados_01!A3</f>
        <v>27/03/2026 12:51:51</v>
      </c>
      <c r="B3" s="3" t="str">
        <f>dados_01!B3</f>
        <v>2</v>
      </c>
      <c r="C3" s="3" t="str">
        <f>IFERROR(__xludf.dummyfunction("JOIN("". "", ARRAYFORMULA(IFERROR(LEFT(SPLIT(dados_01!C3, "" ""), 1))))"),"O. B. D. S. L")</f>
        <v>O. B. D. S. L</v>
      </c>
      <c r="D3" s="3" t="str">
        <f>dados_01!D3</f>
        <v>13/11/2025</v>
      </c>
      <c r="E3" s="3" t="str">
        <f>CONCATENATE(LEFT(dados_01!E3,3),REPT("*",6),RIGHT(dados_01!E3,2))</f>
        <v>022******00</v>
      </c>
      <c r="F3" s="3" t="str">
        <f>dados_01!F3</f>
        <v>INFANTIL 1</v>
      </c>
      <c r="G3" s="3" t="str">
        <f>dados_01!G3</f>
        <v>CEMEI DR. PAULO MENDES</v>
      </c>
      <c r="H3" s="3" t="str">
        <f>dados_01!H3</f>
        <v>REGIONAL 7</v>
      </c>
      <c r="I3" s="3">
        <f>dados_01!I3</f>
        <v>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" spans="1:26">
      <c r="A4" s="3" t="str">
        <f>dados_01!A4</f>
        <v>21/05/2026 11:32:39</v>
      </c>
      <c r="B4" s="3" t="str">
        <f>dados_01!B4</f>
        <v>3</v>
      </c>
      <c r="C4" s="3" t="str">
        <f>IFERROR(__xludf.dummyfunction("JOIN("". "", ARRAYFORMULA(IFERROR(LEFT(SPLIT(dados_01!C4, "" ""), 1))))"),"K. H. D. A. S")</f>
        <v>K. H. D. A. S</v>
      </c>
      <c r="D4" s="3" t="str">
        <f>dados_01!D4</f>
        <v>01/04/2024</v>
      </c>
      <c r="E4" s="3" t="str">
        <f>CONCATENATE(LEFT(dados_01!E4,3),REPT("*",6),RIGHT(dados_01!E4,2))</f>
        <v>002******69</v>
      </c>
      <c r="F4" s="3" t="str">
        <f>dados_01!F4</f>
        <v>INFANTIL 1</v>
      </c>
      <c r="G4" s="3" t="str">
        <f>dados_01!G4</f>
        <v>CEMEI DR. PAULO MENDES</v>
      </c>
      <c r="H4" s="3" t="str">
        <f>dados_01!H4</f>
        <v>REGIONAL 7</v>
      </c>
      <c r="I4" s="3">
        <f>dados_01!I4</f>
        <v>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3" spans="1:26">
      <c r="A5" s="3" t="str">
        <f>dados_01!A5</f>
        <v>22/05/2026 09:22:30</v>
      </c>
      <c r="B5" s="3" t="str">
        <f>dados_01!B5</f>
        <v>4</v>
      </c>
      <c r="C5" s="3" t="str">
        <f>IFERROR(__xludf.dummyfunction("JOIN("". "", ARRAYFORMULA(IFERROR(LEFT(SPLIT(dados_01!C5, "" ""), 1))))"),"A. E. M. d. S")</f>
        <v>A. E. M. d. S</v>
      </c>
      <c r="D5" s="3" t="str">
        <f>dados_01!D5</f>
        <v>27/07/2024</v>
      </c>
      <c r="E5" s="3" t="str">
        <f>CONCATENATE(LEFT(dados_01!E5,3),REPT("*",6),RIGHT(dados_01!E5,2))</f>
        <v>003******46</v>
      </c>
      <c r="F5" s="3" t="str">
        <f>dados_01!F5</f>
        <v>INFANTIL 1</v>
      </c>
      <c r="G5" s="3" t="str">
        <f>dados_01!G5</f>
        <v>CEMEI DR. PAULO MENDES</v>
      </c>
      <c r="H5" s="3" t="str">
        <f>dados_01!H5</f>
        <v>REGIONAL 7</v>
      </c>
      <c r="I5" s="3">
        <f>dados_01!I5</f>
        <v>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" spans="1:26">
      <c r="A6" s="3" t="str">
        <f>dados_01!A6</f>
        <v>23/06/2026 09:32:02</v>
      </c>
      <c r="B6" s="3" t="str">
        <f>dados_01!B6</f>
        <v>5</v>
      </c>
      <c r="C6" s="3" t="str">
        <f>IFERROR(__xludf.dummyfunction("JOIN("". "", ARRAYFORMULA(IFERROR(LEFT(SPLIT(dados_01!C6, "" ""), 1))))"),"M. L. T. D. M")</f>
        <v>M. L. T. D. M</v>
      </c>
      <c r="D6" s="3" t="str">
        <f>dados_01!D6</f>
        <v>25/11/2024</v>
      </c>
      <c r="E6" s="3" t="str">
        <f>CONCATENATE(LEFT(dados_01!E6,3),REPT("*",6),RIGHT(dados_01!E6,2))</f>
        <v>004******93</v>
      </c>
      <c r="F6" s="3" t="str">
        <f>dados_01!F6</f>
        <v>INFANTIL 1</v>
      </c>
      <c r="G6" s="3" t="str">
        <f>dados_01!G6</f>
        <v>CEMEI DR. PAULO MENDES</v>
      </c>
      <c r="H6" s="3" t="str">
        <f>dados_01!H6</f>
        <v>REGIONAL 7</v>
      </c>
      <c r="I6" s="3">
        <f>dados_01!I6</f>
        <v>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3" spans="1:26">
      <c r="A7" s="3" t="str">
        <f>dados_01!A7</f>
        <v>23/06/2026 09:36:48</v>
      </c>
      <c r="B7" s="3" t="str">
        <f>dados_01!B7</f>
        <v>6</v>
      </c>
      <c r="C7" s="3" t="str">
        <f>IFERROR(__xludf.dummyfunction("JOIN("". "", ARRAYFORMULA(IFERROR(LEFT(SPLIT(dados_01!C7, "" ""), 1))))"),"F. L. T. D. M")</f>
        <v>F. L. T. D. M</v>
      </c>
      <c r="D7" s="3" t="str">
        <f>dados_01!D7</f>
        <v>25/11/2024</v>
      </c>
      <c r="E7" s="3" t="str">
        <f>CONCATENATE(LEFT(dados_01!E7,3),REPT("*",6),RIGHT(dados_01!E7,2))</f>
        <v>004******05</v>
      </c>
      <c r="F7" s="3" t="str">
        <f>dados_01!F7</f>
        <v>INFANTIL 1</v>
      </c>
      <c r="G7" s="3" t="str">
        <f>dados_01!G7</f>
        <v>CEMEI DR. PAULO MENDES</v>
      </c>
      <c r="H7" s="3" t="str">
        <f>dados_01!H7</f>
        <v>REGIONAL 7</v>
      </c>
      <c r="I7" s="3">
        <f>dados_01!I7</f>
        <v>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" spans="1:26">
      <c r="A8" s="3" t="str">
        <f>dados_01!A8</f>
        <v>23/07/2026 04:45:19</v>
      </c>
      <c r="B8" s="3" t="str">
        <f>dados_01!B8</f>
        <v>7</v>
      </c>
      <c r="C8" s="3" t="str">
        <f>IFERROR(__xludf.dummyfunction("JOIN("". "", ARRAYFORMULA(IFERROR(LEFT(SPLIT(dados_01!C8, "" ""), 1))))"),"R. O. S")</f>
        <v>R. O. S</v>
      </c>
      <c r="D8" s="3" t="str">
        <f>dados_01!D8</f>
        <v>17/11/2025</v>
      </c>
      <c r="E8" s="3" t="str">
        <f>CONCATENATE(LEFT(dados_01!E8,3),REPT("*",6),RIGHT(dados_01!E8,2))</f>
        <v>024******30</v>
      </c>
      <c r="F8" s="3" t="str">
        <f>dados_01!F8</f>
        <v>INFANTIL 1</v>
      </c>
      <c r="G8" s="3" t="str">
        <f>dados_01!G8</f>
        <v>CEMEI DR. PAULO MENDES</v>
      </c>
      <c r="H8" s="3" t="str">
        <f>dados_01!H8</f>
        <v>REGIONAL 7</v>
      </c>
      <c r="I8" s="3">
        <f>dados_01!I8</f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" spans="1:26">
      <c r="A9" s="3" t="str">
        <f>dados_01!A9</f>
        <v>02/09/2026 11:53:05</v>
      </c>
      <c r="B9" s="3" t="str">
        <f>dados_01!B9</f>
        <v>8</v>
      </c>
      <c r="C9" s="3" t="str">
        <f>IFERROR(__xludf.dummyfunction("JOIN("". "", ARRAYFORMULA(IFERROR(LEFT(SPLIT(dados_01!C9, "" ""), 1))))"),"E. M. d. S")</f>
        <v>E. M. d. S</v>
      </c>
      <c r="D9" s="3" t="str">
        <f>dados_01!D9</f>
        <v>06/07/2025</v>
      </c>
      <c r="E9" s="3" t="str">
        <f>CONCATENATE(LEFT(dados_01!E9,3),REPT("*",6),RIGHT(dados_01!E9,2))</f>
        <v>006******64</v>
      </c>
      <c r="F9" s="3" t="str">
        <f>dados_01!F9</f>
        <v>INFANTIL 1</v>
      </c>
      <c r="G9" s="3" t="str">
        <f>dados_01!G9</f>
        <v>CEMEI DR. PAULO MENDES</v>
      </c>
      <c r="H9" s="3" t="str">
        <f>dados_01!H9</f>
        <v>REGIONAL 7</v>
      </c>
      <c r="I9" s="3">
        <f>dados_01!I9</f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" spans="1:26">
      <c r="A10" s="3" t="str">
        <f>dados_01!A10</f>
        <v>10/06/2026 11:22:14</v>
      </c>
      <c r="B10" s="3" t="str">
        <f>dados_01!B10</f>
        <v>1</v>
      </c>
      <c r="C10" s="3" t="str">
        <f>IFERROR(__xludf.dummyfunction("JOIN("". "", ARRAYFORMULA(IFERROR(LEFT(SPLIT(dados_01!C10, "" ""), 1))))"),"B. G. S. D. S")</f>
        <v>B. G. S. D. S</v>
      </c>
      <c r="D10" s="3" t="str">
        <f>dados_01!D10</f>
        <v>10/11/2023</v>
      </c>
      <c r="E10" s="3" t="str">
        <f>CONCATENATE(LEFT(dados_01!E10,3),REPT("*",6),RIGHT(dados_01!E10,2))</f>
        <v>001******18</v>
      </c>
      <c r="F10" s="3" t="str">
        <f>dados_01!F10</f>
        <v>INFANTIL 2</v>
      </c>
      <c r="G10" s="3" t="str">
        <f>dados_01!G10</f>
        <v>CEMEI DR. PAULO MENDES</v>
      </c>
      <c r="H10" s="3" t="str">
        <f>dados_01!H10</f>
        <v>REGIONAL 7</v>
      </c>
      <c r="I10" s="3">
        <f>dados_01!I10</f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" spans="1:26">
      <c r="A11" s="3" t="str">
        <f>dados_01!A11</f>
        <v>16/09/2026 22:07:06</v>
      </c>
      <c r="B11" s="3" t="str">
        <f>dados_01!B11</f>
        <v>2</v>
      </c>
      <c r="C11" s="3" t="str">
        <f>IFERROR(__xludf.dummyfunction("JOIN("". "", ARRAYFORMULA(IFERROR(LEFT(SPLIT(dados_01!C11, "" ""), 1))))"),"T. A. B. C")</f>
        <v>T. A. B. C</v>
      </c>
      <c r="D11" s="3" t="str">
        <f>dados_01!D11</f>
        <v>20/09/2023</v>
      </c>
      <c r="E11" s="3" t="str">
        <f>CONCATENATE(LEFT(dados_01!E11,3),REPT("*",6),RIGHT(dados_01!E11,2))</f>
        <v>000******60</v>
      </c>
      <c r="F11" s="3" t="str">
        <f>dados_01!F11</f>
        <v>INFANTIL 2</v>
      </c>
      <c r="G11" s="3" t="str">
        <f>dados_01!G11</f>
        <v>CEMEI DR. PAULO MENDES</v>
      </c>
      <c r="H11" s="3" t="str">
        <f>dados_01!H11</f>
        <v>REGIONAL 7</v>
      </c>
      <c r="I11" s="3">
        <f>dados_01!I11</f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" spans="1:26">
      <c r="A12" s="3" t="str">
        <f>dados_01!A12</f>
        <v>18/05/2026 09:15:19</v>
      </c>
      <c r="B12" s="3" t="str">
        <f>dados_01!B12</f>
        <v>1</v>
      </c>
      <c r="C12" s="3" t="str">
        <f>IFERROR(__xludf.dummyfunction("JOIN("". "", ARRAYFORMULA(IFERROR(LEFT(SPLIT(dados_01!C12, "" ""), 1))))"),"H. V. S. D")</f>
        <v>H. V. S. D</v>
      </c>
      <c r="D12" s="3" t="str">
        <f>dados_01!D12</f>
        <v>11/01/2023</v>
      </c>
      <c r="E12" s="3" t="str">
        <f>CONCATENATE(LEFT(dados_01!E12,3),REPT("*",6),RIGHT(dados_01!E12,2))</f>
        <v>184******20</v>
      </c>
      <c r="F12" s="3" t="str">
        <f>dados_01!F12</f>
        <v>INFANTIL 3</v>
      </c>
      <c r="G12" s="3" t="str">
        <f>dados_01!G12</f>
        <v>CEMEI DR. PAULO MENDES</v>
      </c>
      <c r="H12" s="3" t="str">
        <f>dados_01!H12</f>
        <v>REGIONAL 7</v>
      </c>
      <c r="I12" s="3">
        <f>dados_01!I12</f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" spans="1:26">
      <c r="A13" s="3" t="str">
        <f>dados_01!A13</f>
        <v>06/02/2026 09:17:41</v>
      </c>
      <c r="B13" s="3" t="str">
        <f>dados_01!B13</f>
        <v>1</v>
      </c>
      <c r="C13" s="3" t="str">
        <f>IFERROR(__xludf.dummyfunction("JOIN("". "", ARRAYFORMULA(IFERROR(LEFT(SPLIT(dados_01!C13, "" ""), 1))))"),"J. V. C. C")</f>
        <v>J. V. C. C</v>
      </c>
      <c r="D13" s="3" t="str">
        <f>dados_01!D13</f>
        <v>26/03/2023</v>
      </c>
      <c r="E13" s="3" t="str">
        <f>CONCATENATE(LEFT(dados_01!E13,3),REPT("*",6),RIGHT(dados_01!E13,2))</f>
        <v>184******42</v>
      </c>
      <c r="F13" s="3" t="str">
        <f>dados_01!F13</f>
        <v>INFANTIL 3</v>
      </c>
      <c r="G13" s="3" t="str">
        <f>dados_01!G13</f>
        <v>CEMEI ELIEL EUSTAQUIO DA SILVA</v>
      </c>
      <c r="H13" s="3" t="str">
        <f>dados_01!H13</f>
        <v>REGIONAL 7</v>
      </c>
      <c r="I13" s="3">
        <f>dados_01!I13</f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" spans="1:26">
      <c r="A14" s="3" t="str">
        <f>dados_01!A14</f>
        <v>04/05/2026 08:16:17</v>
      </c>
      <c r="B14" s="3" t="str">
        <f>dados_01!B14</f>
        <v>2</v>
      </c>
      <c r="C14" s="3" t="str">
        <f>IFERROR(__xludf.dummyfunction("JOIN("". "", ARRAYFORMULA(IFERROR(LEFT(SPLIT(dados_01!C14, "" ""), 1))))"),"A. A. D. P. S")</f>
        <v>A. A. D. P. S</v>
      </c>
      <c r="D14" s="3" t="str">
        <f>dados_01!D14</f>
        <v>24/12/2022</v>
      </c>
      <c r="E14" s="3" t="str">
        <f>CONCATENATE(LEFT(dados_01!E14,3),REPT("*",6),RIGHT(dados_01!E14,2))</f>
        <v>183******09</v>
      </c>
      <c r="F14" s="3" t="str">
        <f>dados_01!F14</f>
        <v>INFANTIL 3</v>
      </c>
      <c r="G14" s="3" t="str">
        <f>dados_01!G14</f>
        <v>CEMEI ELIEL EUSTAQUIO DA SILVA</v>
      </c>
      <c r="H14" s="3" t="str">
        <f>dados_01!H14</f>
        <v>REGIONAL 7</v>
      </c>
      <c r="I14" s="3">
        <f>dados_01!I14</f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" spans="1:26">
      <c r="A15" s="3" t="str">
        <f>dados_01!A15</f>
        <v>22/06/2026 14:09:23</v>
      </c>
      <c r="B15" s="3" t="str">
        <f>dados_01!B15</f>
        <v>3</v>
      </c>
      <c r="C15" s="3" t="str">
        <f>IFERROR(__xludf.dummyfunction("JOIN("". "", ARRAYFORMULA(IFERROR(LEFT(SPLIT(dados_01!C15, "" ""), 1))))"),"I. V. d. S")</f>
        <v>I. V. d. S</v>
      </c>
      <c r="D15" s="3" t="str">
        <f>dados_01!D15</f>
        <v>07/04/2022</v>
      </c>
      <c r="E15" s="3" t="str">
        <f>CONCATENATE(LEFT(dados_01!E15,3),REPT("*",6),RIGHT(dados_01!E15,2))</f>
        <v>181******03</v>
      </c>
      <c r="F15" s="3" t="str">
        <f>dados_01!F15</f>
        <v>INFANTIL 3</v>
      </c>
      <c r="G15" s="3" t="str">
        <f>dados_01!G15</f>
        <v>CEMEI ELIEL EUSTAQUIO DA SILVA</v>
      </c>
      <c r="H15" s="3" t="str">
        <f>dados_01!H15</f>
        <v>REGIONAL 7</v>
      </c>
      <c r="I15" s="3">
        <f>dados_01!I15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" spans="1:26">
      <c r="A16" s="3" t="str">
        <f>dados_01!A16</f>
        <v>10/09/2026 09:46:29</v>
      </c>
      <c r="B16" s="3" t="str">
        <f>dados_01!B16</f>
        <v>4</v>
      </c>
      <c r="C16" s="3" t="str">
        <f>IFERROR(__xludf.dummyfunction("JOIN("". "", ARRAYFORMULA(IFERROR(LEFT(SPLIT(dados_01!C16, "" ""), 1))))"),"S. d. S. P. d. S")</f>
        <v>S. d. S. P. d. S</v>
      </c>
      <c r="D16" s="3" t="str">
        <f>dados_01!D16</f>
        <v>08/10/2022</v>
      </c>
      <c r="E16" s="3" t="str">
        <f>CONCATENATE(LEFT(dados_01!E16,3),REPT("*",6),RIGHT(dados_01!E16,2))</f>
        <v>183******61</v>
      </c>
      <c r="F16" s="3" t="str">
        <f>dados_01!F16</f>
        <v>INFANTIL 3</v>
      </c>
      <c r="G16" s="3" t="str">
        <f>dados_01!G16</f>
        <v>CEMEI ELIEL EUSTAQUIO DA SILVA</v>
      </c>
      <c r="H16" s="3" t="str">
        <f>dados_01!H16</f>
        <v>REGIONAL 7</v>
      </c>
      <c r="I16" s="3">
        <f>dados_01!I16</f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" spans="1:26">
      <c r="A17" s="3" t="str">
        <f>dados_01!A17</f>
        <v>09/03/2026 17:29:00</v>
      </c>
      <c r="B17" s="3" t="str">
        <f>dados_01!B17</f>
        <v>1</v>
      </c>
      <c r="C17" s="3" t="str">
        <f>IFERROR(__xludf.dummyfunction("JOIN("". "", ARRAYFORMULA(IFERROR(LEFT(SPLIT(dados_01!C17, "" ""), 1))))"),"M. D. C. M. C")</f>
        <v>M. D. C. M. C</v>
      </c>
      <c r="D17" s="3" t="str">
        <f>dados_01!D17</f>
        <v>21/05/2024</v>
      </c>
      <c r="E17" s="3" t="str">
        <f>CONCATENATE(LEFT(dados_01!E17,3),REPT("*",6),RIGHT(dados_01!E17,2))</f>
        <v>003******58</v>
      </c>
      <c r="F17" s="3" t="str">
        <f>dados_01!F17</f>
        <v>INFANTIL 1</v>
      </c>
      <c r="G17" s="3" t="str">
        <f>dados_01!G17</f>
        <v>CEMEI LIGIA ARAUJO DE OLIVEIRA</v>
      </c>
      <c r="H17" s="3" t="str">
        <f>dados_01!H17</f>
        <v>REGIONAL 6</v>
      </c>
      <c r="I17" s="3">
        <f>dados_01!I17</f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" spans="1:26">
      <c r="A18" s="3" t="str">
        <f>dados_01!A18</f>
        <v>23/03/2026 19:01:28</v>
      </c>
      <c r="B18" s="3" t="str">
        <f>dados_01!B18</f>
        <v>2</v>
      </c>
      <c r="C18" s="3" t="str">
        <f>IFERROR(__xludf.dummyfunction("JOIN("". "", ARRAYFORMULA(IFERROR(LEFT(SPLIT(dados_01!C18, "" ""), 1))))"),"L. S. S")</f>
        <v>L. S. S</v>
      </c>
      <c r="D18" s="3" t="str">
        <f>dados_01!D18</f>
        <v>15/05/2024</v>
      </c>
      <c r="E18" s="3" t="str">
        <f>CONCATENATE(LEFT(dados_01!E18,3),REPT("*",6),RIGHT(dados_01!E18,2))</f>
        <v>003******82</v>
      </c>
      <c r="F18" s="3" t="str">
        <f>dados_01!F18</f>
        <v>INFANTIL 1</v>
      </c>
      <c r="G18" s="3" t="str">
        <f>dados_01!G18</f>
        <v>CEMEI LIGIA ARAUJO DE OLIVEIRA</v>
      </c>
      <c r="H18" s="3" t="str">
        <f>dados_01!H18</f>
        <v>REGIONAL 6</v>
      </c>
      <c r="I18" s="3">
        <f>dados_01!I18</f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" spans="1:26">
      <c r="A19" s="3" t="str">
        <f>dados_01!A19</f>
        <v>25/08/2026 13:04:30</v>
      </c>
      <c r="B19" s="3" t="str">
        <f>dados_01!B19</f>
        <v>3</v>
      </c>
      <c r="C19" s="3" t="str">
        <f>IFERROR(__xludf.dummyfunction("JOIN("". "", ARRAYFORMULA(IFERROR(LEFT(SPLIT(dados_01!C19, "" ""), 1))))"),"L. r. d. s. f")</f>
        <v>L. r. d. s. f</v>
      </c>
      <c r="D19" s="3" t="str">
        <f>dados_01!D19</f>
        <v>26/12/2025</v>
      </c>
      <c r="E19" s="3" t="str">
        <f>CONCATENATE(LEFT(dados_01!E19,3),REPT("*",6),RIGHT(dados_01!E19,2))</f>
        <v>037******58</v>
      </c>
      <c r="F19" s="3" t="str">
        <f>dados_01!F19</f>
        <v>INFANTIL 1</v>
      </c>
      <c r="G19" s="3" t="str">
        <f>dados_01!G19</f>
        <v>CEMEI LIGIA ARAUJO DE OLIVEIRA</v>
      </c>
      <c r="H19" s="3" t="str">
        <f>dados_01!H19</f>
        <v>REGIONAL 6</v>
      </c>
      <c r="I19" s="3">
        <f>dados_01!I19</f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" spans="1:26">
      <c r="A20" s="3" t="str">
        <f>dados_01!A20</f>
        <v>29/08/2026 22:31:44</v>
      </c>
      <c r="B20" s="3" t="str">
        <f>dados_01!B20</f>
        <v>4</v>
      </c>
      <c r="C20" s="3" t="str">
        <f>IFERROR(__xludf.dummyfunction("JOIN("". "", ARRAYFORMULA(IFERROR(LEFT(SPLIT(dados_01!C20, "" ""), 1))))"),"B. A. S")</f>
        <v>B. A. S</v>
      </c>
      <c r="D20" s="3" t="str">
        <f>dados_01!D20</f>
        <v>05/08/2025</v>
      </c>
      <c r="E20" s="3" t="str">
        <f>CONCATENATE(LEFT(dados_01!E20,3),REPT("*",6),RIGHT(dados_01!E20,2))</f>
        <v>007******70</v>
      </c>
      <c r="F20" s="3" t="str">
        <f>dados_01!F20</f>
        <v>INFANTIL 1</v>
      </c>
      <c r="G20" s="3" t="str">
        <f>dados_01!G20</f>
        <v>CEMEI LIGIA ARAUJO DE OLIVEIRA</v>
      </c>
      <c r="H20" s="3" t="str">
        <f>dados_01!H20</f>
        <v>REGIONAL 6</v>
      </c>
      <c r="I20" s="3">
        <f>dados_01!I20</f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 spans="1:26">
      <c r="A21" s="3" t="str">
        <f>dados_01!A21</f>
        <v>28/01/2026 08:07:40</v>
      </c>
      <c r="B21" s="3" t="str">
        <f>dados_01!B21</f>
        <v>1</v>
      </c>
      <c r="C21" s="3" t="str">
        <f>IFERROR(__xludf.dummyfunction("JOIN("". "", ARRAYFORMULA(IFERROR(LEFT(SPLIT(dados_01!C21, "" ""), 1))))"),"Í. M. E. D. S")</f>
        <v>Í. M. E. D. S</v>
      </c>
      <c r="D21" s="3" t="str">
        <f>dados_01!D21</f>
        <v>19/08/2023</v>
      </c>
      <c r="E21" s="3" t="str">
        <f>CONCATENATE(LEFT(dados_01!E21,3),REPT("*",6),RIGHT(dados_01!E21,2))</f>
        <v>001******67</v>
      </c>
      <c r="F21" s="3" t="str">
        <f>dados_01!F21</f>
        <v>INFANTIL 2</v>
      </c>
      <c r="G21" s="3" t="str">
        <f>dados_01!G21</f>
        <v>CEMEI LIGIA ARAUJO DE OLIVEIRA</v>
      </c>
      <c r="H21" s="3" t="str">
        <f>dados_01!H21</f>
        <v>REGIONAL 6</v>
      </c>
      <c r="I21" s="3">
        <f>dados_01!I21</f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 spans="1:26">
      <c r="A22" s="3" t="str">
        <f>dados_01!A22</f>
        <v>29/01/2026 10:35:38</v>
      </c>
      <c r="B22" s="3" t="str">
        <f>dados_01!B22</f>
        <v>2</v>
      </c>
      <c r="C22" s="3" t="str">
        <f>IFERROR(__xludf.dummyfunction("JOIN("". "", ARRAYFORMULA(IFERROR(LEFT(SPLIT(dados_01!C22, "" ""), 1))))"),"O. H. L. L")</f>
        <v>O. H. L. L</v>
      </c>
      <c r="D22" s="3" t="str">
        <f>dados_01!D22</f>
        <v>27/05/2023</v>
      </c>
      <c r="E22" s="3" t="str">
        <f>CONCATENATE(LEFT(dados_01!E22,3),REPT("*",6),RIGHT(dados_01!E22,2))</f>
        <v>185******18</v>
      </c>
      <c r="F22" s="3" t="str">
        <f>dados_01!F22</f>
        <v>INFANTIL 2</v>
      </c>
      <c r="G22" s="3" t="str">
        <f>dados_01!G22</f>
        <v>CEMEI LIGIA ARAUJO DE OLIVEIRA</v>
      </c>
      <c r="H22" s="3" t="str">
        <f>dados_01!H22</f>
        <v>REGIONAL 6</v>
      </c>
      <c r="I22" s="3">
        <f>dados_01!I22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 spans="1:26">
      <c r="A23" s="3" t="str">
        <f>dados_01!A23</f>
        <v>11/03/2026 10:19:05</v>
      </c>
      <c r="B23" s="3" t="str">
        <f>dados_01!B23</f>
        <v>3</v>
      </c>
      <c r="C23" s="3" t="str">
        <f>IFERROR(__xludf.dummyfunction("JOIN("". "", ARRAYFORMULA(IFERROR(LEFT(SPLIT(dados_01!C23, "" ""), 1))))"),"A. G. D. S. S")</f>
        <v>A. G. D. S. S</v>
      </c>
      <c r="D23" s="3" t="str">
        <f>dados_01!D23</f>
        <v>30/12/2023</v>
      </c>
      <c r="E23" s="3" t="str">
        <f>CONCATENATE(LEFT(dados_01!E23,3),REPT("*",6),RIGHT(dados_01!E23,2))</f>
        <v>001******00</v>
      </c>
      <c r="F23" s="3" t="str">
        <f>dados_01!F23</f>
        <v>INFANTIL 2</v>
      </c>
      <c r="G23" s="3" t="str">
        <f>dados_01!G23</f>
        <v>CEMEI LIGIA ARAUJO DE OLIVEIRA</v>
      </c>
      <c r="H23" s="3" t="str">
        <f>dados_01!H23</f>
        <v>REGIONAL 6</v>
      </c>
      <c r="I23" s="3">
        <f>dados_01!I23</f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 spans="1:26">
      <c r="A24" s="3" t="str">
        <f>dados_01!A24</f>
        <v>20/04/2026 12:53:45</v>
      </c>
      <c r="B24" s="3" t="str">
        <f>dados_01!B24</f>
        <v>4</v>
      </c>
      <c r="C24" s="3" t="str">
        <f>IFERROR(__xludf.dummyfunction("JOIN("". "", ARRAYFORMULA(IFERROR(LEFT(SPLIT(dados_01!C24, "" ""), 1))))"),"I. M. D. D. S")</f>
        <v>I. M. D. D. S</v>
      </c>
      <c r="D24" s="3" t="str">
        <f>dados_01!D24</f>
        <v>02/05/2023</v>
      </c>
      <c r="E24" s="3" t="str">
        <f>CONCATENATE(LEFT(dados_01!E24,3),REPT("*",6),RIGHT(dados_01!E24,2))</f>
        <v>166******37</v>
      </c>
      <c r="F24" s="3" t="str">
        <f>dados_01!F24</f>
        <v>INFANTIL 2</v>
      </c>
      <c r="G24" s="3" t="str">
        <f>dados_01!G24</f>
        <v>CEMEI LIGIA ARAUJO DE OLIVEIRA</v>
      </c>
      <c r="H24" s="3" t="str">
        <f>dados_01!H24</f>
        <v>REGIONAL 6</v>
      </c>
      <c r="I24" s="3">
        <f>dados_01!I24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 spans="1:26">
      <c r="A25" s="3" t="str">
        <f>dados_01!A25</f>
        <v>08/05/2026 07:30:21</v>
      </c>
      <c r="B25" s="3" t="str">
        <f>dados_01!B25</f>
        <v>5</v>
      </c>
      <c r="C25" s="3" t="str">
        <f>IFERROR(__xludf.dummyfunction("JOIN("". "", ARRAYFORMULA(IFERROR(LEFT(SPLIT(dados_01!C25, "" ""), 1))))"),"H. G. M. D. S")</f>
        <v>H. G. M. D. S</v>
      </c>
      <c r="D25" s="3" t="str">
        <f>dados_01!D25</f>
        <v>20/05/2023</v>
      </c>
      <c r="E25" s="3" t="str">
        <f>CONCATENATE(LEFT(dados_01!E25,3),REPT("*",6),RIGHT(dados_01!E25,2))</f>
        <v>185******29</v>
      </c>
      <c r="F25" s="3" t="str">
        <f>dados_01!F25</f>
        <v>INFANTIL 2</v>
      </c>
      <c r="G25" s="3" t="str">
        <f>dados_01!G25</f>
        <v>CEMEI LIGIA ARAUJO DE OLIVEIRA</v>
      </c>
      <c r="H25" s="3" t="str">
        <f>dados_01!H25</f>
        <v>REGIONAL 6</v>
      </c>
      <c r="I25" s="3">
        <f>dados_01!I25</f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 spans="1:26">
      <c r="A26" s="3" t="str">
        <f>dados_01!A26</f>
        <v>10/06/2026 09:35:26</v>
      </c>
      <c r="B26" s="3" t="str">
        <f>dados_01!B26</f>
        <v>6</v>
      </c>
      <c r="C26" s="3" t="str">
        <f>IFERROR(__xludf.dummyfunction("JOIN("". "", ARRAYFORMULA(IFERROR(LEFT(SPLIT(dados_01!C26, "" ""), 1))))"),"H. L. P. D. S")</f>
        <v>H. L. P. D. S</v>
      </c>
      <c r="D26" s="3" t="str">
        <f>dados_01!D26</f>
        <v>22/06/2023</v>
      </c>
      <c r="E26" s="3" t="str">
        <f>CONCATENATE(LEFT(dados_01!E26,3),REPT("*",6),RIGHT(dados_01!E26,2))</f>
        <v>035******53</v>
      </c>
      <c r="F26" s="3" t="str">
        <f>dados_01!F26</f>
        <v>INFANTIL 2</v>
      </c>
      <c r="G26" s="3" t="str">
        <f>dados_01!G26</f>
        <v>CEMEI LIGIA ARAUJO DE OLIVEIRA</v>
      </c>
      <c r="H26" s="3" t="str">
        <f>dados_01!H26</f>
        <v>REGIONAL 6</v>
      </c>
      <c r="I26" s="3">
        <f>dados_01!I26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 spans="1:26">
      <c r="A27" s="3" t="str">
        <f>dados_01!A27</f>
        <v>03/02/2026 14:12:28</v>
      </c>
      <c r="B27" s="3" t="str">
        <f>dados_01!B27</f>
        <v>1</v>
      </c>
      <c r="C27" s="3" t="str">
        <f>IFERROR(__xludf.dummyfunction("JOIN("". "", ARRAYFORMULA(IFERROR(LEFT(SPLIT(dados_01!C27, "" ""), 1))))"),"A. F. D. S")</f>
        <v>A. F. D. S</v>
      </c>
      <c r="D27" s="3" t="str">
        <f>dados_01!D27</f>
        <v>22/11/2022</v>
      </c>
      <c r="E27" s="3" t="str">
        <f>CONCATENATE(LEFT(dados_01!E27,3),REPT("*",6),RIGHT(dados_01!E27,2))</f>
        <v>183******05</v>
      </c>
      <c r="F27" s="3" t="str">
        <f>dados_01!F27</f>
        <v>INFANTIL 3</v>
      </c>
      <c r="G27" s="3" t="str">
        <f>dados_01!G27</f>
        <v>CEMEI LIGIA ARAUJO DE OLIVEIRA</v>
      </c>
      <c r="H27" s="3" t="str">
        <f>dados_01!H27</f>
        <v>REGIONAL 6</v>
      </c>
      <c r="I27" s="3">
        <f>dados_01!I27</f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 spans="1:26">
      <c r="A28" s="3" t="str">
        <f>dados_01!A28</f>
        <v>03/02/2026 14:18:57</v>
      </c>
      <c r="B28" s="3" t="str">
        <f>dados_01!B28</f>
        <v>2</v>
      </c>
      <c r="C28" s="3" t="str">
        <f>IFERROR(__xludf.dummyfunction("JOIN("". "", ARRAYFORMULA(IFERROR(LEFT(SPLIT(dados_01!C28, "" ""), 1))))"),"A. F. D. S")</f>
        <v>A. F. D. S</v>
      </c>
      <c r="D28" s="3" t="str">
        <f>dados_01!D28</f>
        <v>22/11/2022</v>
      </c>
      <c r="E28" s="3" t="str">
        <f>CONCATENATE(LEFT(dados_01!E28,3),REPT("*",6),RIGHT(dados_01!E28,2))</f>
        <v>183******11</v>
      </c>
      <c r="F28" s="3" t="str">
        <f>dados_01!F28</f>
        <v>INFANTIL 3</v>
      </c>
      <c r="G28" s="3" t="str">
        <f>dados_01!G28</f>
        <v>CEMEI LIGIA ARAUJO DE OLIVEIRA</v>
      </c>
      <c r="H28" s="3" t="str">
        <f>dados_01!H28</f>
        <v>REGIONAL 6</v>
      </c>
      <c r="I28" s="3">
        <f>dados_01!I28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 spans="1:26">
      <c r="A29" s="3" t="str">
        <f>dados_01!A29</f>
        <v>23/02/2026 20:39:24</v>
      </c>
      <c r="B29" s="3" t="str">
        <f>dados_01!B29</f>
        <v>3</v>
      </c>
      <c r="C29" s="3" t="str">
        <f>IFERROR(__xludf.dummyfunction("JOIN("". "", ARRAYFORMULA(IFERROR(LEFT(SPLIT(dados_01!C29, "" ""), 1))))"),"A. E. P. D. S")</f>
        <v>A. E. P. D. S</v>
      </c>
      <c r="D29" s="3" t="str">
        <f>dados_01!D29</f>
        <v>31/08/2022</v>
      </c>
      <c r="E29" s="3" t="str">
        <f>CONCATENATE(LEFT(dados_01!E29,3),REPT("*",6),RIGHT(dados_01!E29,2))</f>
        <v>182******05</v>
      </c>
      <c r="F29" s="3" t="str">
        <f>dados_01!F29</f>
        <v>INFANTIL 3</v>
      </c>
      <c r="G29" s="3" t="str">
        <f>dados_01!G29</f>
        <v>CEMEI LIGIA ARAUJO DE OLIVEIRA</v>
      </c>
      <c r="H29" s="3" t="str">
        <f>dados_01!H29</f>
        <v>REGIONAL 6</v>
      </c>
      <c r="I29" s="3">
        <f>dados_01!I29</f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 spans="1:26">
      <c r="A30" s="3" t="str">
        <f>dados_01!A30</f>
        <v>11/08/2026 13:20:40</v>
      </c>
      <c r="B30" s="3" t="str">
        <f>dados_01!B30</f>
        <v>4</v>
      </c>
      <c r="C30" s="3" t="str">
        <f>IFERROR(__xludf.dummyfunction("JOIN("". "", ARRAYFORMULA(IFERROR(LEFT(SPLIT(dados_01!C30, "" ""), 1))))"),"K. H. d. S")</f>
        <v>K. H. d. S</v>
      </c>
      <c r="D30" s="3" t="str">
        <f>dados_01!D30</f>
        <v>09/03/2023</v>
      </c>
      <c r="E30" s="3" t="str">
        <f>CONCATENATE(LEFT(dados_01!E30,3),REPT("*",6),RIGHT(dados_01!E30,2))</f>
        <v>184******13</v>
      </c>
      <c r="F30" s="3" t="str">
        <f>dados_01!F30</f>
        <v>INFANTIL 3</v>
      </c>
      <c r="G30" s="3" t="str">
        <f>dados_01!G30</f>
        <v>CEMEI LIGIA ARAUJO DE OLIVEIRA</v>
      </c>
      <c r="H30" s="3" t="str">
        <f>dados_01!H30</f>
        <v>REGIONAL 6</v>
      </c>
      <c r="I30" s="3">
        <f>dados_01!I30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 spans="1:26">
      <c r="A31" s="3" t="str">
        <f>dados_01!A31</f>
        <v>09/07/2026 20:11:39</v>
      </c>
      <c r="B31" s="3" t="str">
        <f>dados_01!B31</f>
        <v>1</v>
      </c>
      <c r="C31" s="3" t="str">
        <f>IFERROR(__xludf.dummyfunction("JOIN("". "", ARRAYFORMULA(IFERROR(LEFT(SPLIT(dados_01!C31, "" ""), 1))))"),"M. C. V. D. S")</f>
        <v>M. C. V. D. S</v>
      </c>
      <c r="D31" s="3" t="str">
        <f>dados_01!D31</f>
        <v>02/06/2023</v>
      </c>
      <c r="E31" s="3" t="str">
        <f>CONCATENATE(LEFT(dados_01!E31,3),REPT("*",6),RIGHT(dados_01!E31,2))</f>
        <v>185******05</v>
      </c>
      <c r="F31" s="3" t="str">
        <f>dados_01!F31</f>
        <v>INFANTIL 2</v>
      </c>
      <c r="G31" s="3" t="str">
        <f>dados_01!G31</f>
        <v>CEMEI LUIZ FERNANDO DE CARVALHO ARCOVERDE</v>
      </c>
      <c r="H31" s="3" t="str">
        <f>dados_01!H31</f>
        <v>REGIONAL 2</v>
      </c>
      <c r="I31" s="3">
        <f>dados_01!I31</f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 spans="1:26">
      <c r="A32" s="3" t="str">
        <f>dados_01!A32</f>
        <v>24/07/2026 16:57:07</v>
      </c>
      <c r="B32" s="3" t="str">
        <f>dados_01!B32</f>
        <v>2</v>
      </c>
      <c r="C32" s="3" t="str">
        <f>IFERROR(__xludf.dummyfunction("JOIN("". "", ARRAYFORMULA(IFERROR(LEFT(SPLIT(dados_01!C32, "" ""), 1))))"),"I. l. M. d. N")</f>
        <v>I. l. M. d. N</v>
      </c>
      <c r="D32" s="3" t="str">
        <f>dados_01!D32</f>
        <v>11/12/2023</v>
      </c>
      <c r="E32" s="3" t="str">
        <f>CONCATENATE(LEFT(dados_01!E32,3),REPT("*",6),RIGHT(dados_01!E32,2))</f>
        <v>001******69</v>
      </c>
      <c r="F32" s="3" t="str">
        <f>dados_01!F32</f>
        <v>INFANTIL 2</v>
      </c>
      <c r="G32" s="3" t="str">
        <f>dados_01!G32</f>
        <v>CEMEI LUIZ FERNANDO DE CARVALHO ARCOVERDE</v>
      </c>
      <c r="H32" s="3" t="str">
        <f>dados_01!H32</f>
        <v>REGIONAL 2</v>
      </c>
      <c r="I32" s="3">
        <f>dados_01!I32</f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 spans="1:26">
      <c r="A33" s="3" t="str">
        <f>dados_01!A33</f>
        <v>19/03/2026 08:28:18</v>
      </c>
      <c r="B33" s="3" t="str">
        <f>dados_01!B33</f>
        <v>1</v>
      </c>
      <c r="C33" s="3" t="str">
        <f>IFERROR(__xludf.dummyfunction("JOIN("". "", ARRAYFORMULA(IFERROR(LEFT(SPLIT(dados_01!C33, "" ""), 1))))"),"M. C. D. L")</f>
        <v>M. C. D. L</v>
      </c>
      <c r="D33" s="3" t="str">
        <f>dados_01!D33</f>
        <v>16/12/2024</v>
      </c>
      <c r="E33" s="3" t="str">
        <f>CONCATENATE(LEFT(dados_01!E33,3),REPT("*",6),RIGHT(dados_01!E33,2))</f>
        <v>004******32</v>
      </c>
      <c r="F33" s="3" t="str">
        <f>dados_01!F33</f>
        <v>INFANTIL 1</v>
      </c>
      <c r="G33" s="3" t="str">
        <f>dados_01!G33</f>
        <v>CEMEI PROFª MARIA LUZIA RIO LIMA</v>
      </c>
      <c r="H33" s="3" t="str">
        <f>dados_01!H33</f>
        <v>REGIONAL 5</v>
      </c>
      <c r="I33" s="3">
        <f>dados_01!I33</f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 spans="1:26">
      <c r="A34" s="3" t="str">
        <f>dados_01!A34</f>
        <v>19/03/2026 08:46:18</v>
      </c>
      <c r="B34" s="3" t="str">
        <f>dados_01!B34</f>
        <v>2</v>
      </c>
      <c r="C34" s="3" t="str">
        <f>IFERROR(__xludf.dummyfunction("JOIN("". "", ARRAYFORMULA(IFERROR(LEFT(SPLIT(dados_01!C34, "" ""), 1))))"),"M. F. D. L")</f>
        <v>M. F. D. L</v>
      </c>
      <c r="D34" s="3" t="str">
        <f>dados_01!D34</f>
        <v>16/12/2024</v>
      </c>
      <c r="E34" s="3" t="str">
        <f>CONCATENATE(LEFT(dados_01!E34,3),REPT("*",6),RIGHT(dados_01!E34,2))</f>
        <v>004******97</v>
      </c>
      <c r="F34" s="3" t="str">
        <f>dados_01!F34</f>
        <v>INFANTIL 1</v>
      </c>
      <c r="G34" s="3" t="str">
        <f>dados_01!G34</f>
        <v>CEMEI PROFª MARIA LUZIA RIO LIMA</v>
      </c>
      <c r="H34" s="3" t="str">
        <f>dados_01!H34</f>
        <v>REGIONAL 5</v>
      </c>
      <c r="I34" s="3">
        <f>dados_01!I34</f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 spans="1:26">
      <c r="A35" s="3" t="str">
        <f>dados_01!A35</f>
        <v>06/05/2026 15:38:45</v>
      </c>
      <c r="B35" s="3" t="str">
        <f>dados_01!B35</f>
        <v>3</v>
      </c>
      <c r="C35" s="3" t="str">
        <f>IFERROR(__xludf.dummyfunction("JOIN("". "", ARRAYFORMULA(IFERROR(LEFT(SPLIT(dados_01!C35, "" ""), 1))))"),"E. L. F. D. S")</f>
        <v>E. L. F. D. S</v>
      </c>
      <c r="D35" s="3" t="str">
        <f>dados_01!D35</f>
        <v>05/09/2024</v>
      </c>
      <c r="E35" s="3" t="str">
        <f>CONCATENATE(LEFT(dados_01!E35,3),REPT("*",6),RIGHT(dados_01!E35,2))</f>
        <v>118******81</v>
      </c>
      <c r="F35" s="3" t="str">
        <f>dados_01!F35</f>
        <v>INFANTIL 1</v>
      </c>
      <c r="G35" s="3" t="str">
        <f>dados_01!G35</f>
        <v>CEMEI PROFª MARIA LUZIA RIO LIMA</v>
      </c>
      <c r="H35" s="3" t="str">
        <f>dados_01!H35</f>
        <v>REGIONAL 5</v>
      </c>
      <c r="I35" s="3">
        <f>dados_01!I35</f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 spans="1:26">
      <c r="A36" s="3" t="str">
        <f>dados_01!A36</f>
        <v>10/06/2026 16:57:35</v>
      </c>
      <c r="B36" s="3" t="str">
        <f>dados_01!B36</f>
        <v>4</v>
      </c>
      <c r="C36" s="3" t="str">
        <f>IFERROR(__xludf.dummyfunction("JOIN("". "", ARRAYFORMULA(IFERROR(LEFT(SPLIT(dados_01!C36, "" ""), 1))))"),"E. S. d. m")</f>
        <v>E. S. d. m</v>
      </c>
      <c r="D36" s="3" t="str">
        <f>dados_01!D36</f>
        <v>19/09/2024</v>
      </c>
      <c r="E36" s="3" t="str">
        <f>CONCATENATE(LEFT(dados_01!E36,3),REPT("*",6),RIGHT(dados_01!E36,2))</f>
        <v>004******08</v>
      </c>
      <c r="F36" s="3" t="str">
        <f>dados_01!F36</f>
        <v>INFANTIL 1</v>
      </c>
      <c r="G36" s="3" t="str">
        <f>dados_01!G36</f>
        <v>CEMEI PROFª MARIA LUZIA RIO LIMA</v>
      </c>
      <c r="H36" s="3" t="str">
        <f>dados_01!H36</f>
        <v>REGIONAL 5</v>
      </c>
      <c r="I36" s="3">
        <f>dados_01!I36</f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 spans="1:26">
      <c r="A37" s="3" t="str">
        <f>dados_01!A37</f>
        <v>10/06/2026 17:01:25</v>
      </c>
      <c r="B37" s="3" t="str">
        <f>dados_01!B37</f>
        <v>5</v>
      </c>
      <c r="C37" s="3" t="str">
        <f>IFERROR(__xludf.dummyfunction("JOIN("". "", ARRAYFORMULA(IFERROR(LEFT(SPLIT(dados_01!C37, "" ""), 1))))"),"D. S. d. M")</f>
        <v>D. S. d. M</v>
      </c>
      <c r="D37" s="3" t="str">
        <f>dados_01!D37</f>
        <v>19/09/2024</v>
      </c>
      <c r="E37" s="3" t="str">
        <f>CONCATENATE(LEFT(dados_01!E37,3),REPT("*",6),RIGHT(dados_01!E37,2))</f>
        <v>004******92</v>
      </c>
      <c r="F37" s="3" t="str">
        <f>dados_01!F37</f>
        <v>INFANTIL 1</v>
      </c>
      <c r="G37" s="3" t="str">
        <f>dados_01!G37</f>
        <v>CEMEI PROFª MARIA LUZIA RIO LIMA</v>
      </c>
      <c r="H37" s="3" t="str">
        <f>dados_01!H37</f>
        <v>REGIONAL 5</v>
      </c>
      <c r="I37" s="3">
        <f>dados_01!I37</f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 spans="1:26">
      <c r="A38" s="3" t="str">
        <f>dados_01!A38</f>
        <v>04/02/2026 08:52:54</v>
      </c>
      <c r="B38" s="3" t="str">
        <f>dados_01!B38</f>
        <v>1</v>
      </c>
      <c r="C38" s="3" t="str">
        <f>IFERROR(__xludf.dummyfunction("JOIN("". "", ARRAYFORMULA(IFERROR(LEFT(SPLIT(dados_01!C38, "" ""), 1))))"),"R. J. D. S")</f>
        <v>R. J. D. S</v>
      </c>
      <c r="D38" s="3" t="str">
        <f>dados_01!D38</f>
        <v>18/04/2024</v>
      </c>
      <c r="E38" s="3" t="str">
        <f>CONCATENATE(LEFT(dados_01!E38,3),REPT("*",6),RIGHT(dados_01!E38,2))</f>
        <v>003******54</v>
      </c>
      <c r="F38" s="3" t="str">
        <f>dados_01!F38</f>
        <v>INFANTIL 1</v>
      </c>
      <c r="G38" s="3" t="str">
        <f>dados_01!G38</f>
        <v>CEMEI PROFESSORA CIBELE DE ANDRADE MENDES DE AZEVEDO</v>
      </c>
      <c r="H38" s="3" t="str">
        <f>dados_01!H38</f>
        <v>REGIONAL 7</v>
      </c>
      <c r="I38" s="3">
        <f>dados_01!I38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 spans="1:26">
      <c r="A39" s="3" t="str">
        <f>dados_01!A39</f>
        <v>05/02/2026 12:22:17</v>
      </c>
      <c r="B39" s="3" t="str">
        <f>dados_01!B39</f>
        <v>2</v>
      </c>
      <c r="C39" s="3" t="str">
        <f>IFERROR(__xludf.dummyfunction("JOIN("". "", ARRAYFORMULA(IFERROR(LEFT(SPLIT(dados_01!C39, "" ""), 1))))"),"E. J. N. D. S")</f>
        <v>E. J. N. D. S</v>
      </c>
      <c r="D39" s="3" t="str">
        <f>dados_01!D39</f>
        <v>12/08/2024</v>
      </c>
      <c r="E39" s="3" t="str">
        <f>CONCATENATE(LEFT(dados_01!E39,3),REPT("*",6),RIGHT(dados_01!E39,2))</f>
        <v>003******75</v>
      </c>
      <c r="F39" s="3" t="str">
        <f>dados_01!F39</f>
        <v>INFANTIL 1</v>
      </c>
      <c r="G39" s="3" t="str">
        <f>dados_01!G39</f>
        <v>CEMEI PROFESSORA CIBELE DE ANDRADE MENDES DE AZEVEDO</v>
      </c>
      <c r="H39" s="3" t="str">
        <f>dados_01!H39</f>
        <v>REGIONAL 7</v>
      </c>
      <c r="I39" s="3">
        <f>dados_01!I39</f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 spans="1:26">
      <c r="A40" s="3" t="str">
        <f>dados_01!A40</f>
        <v>05/02/2026 13:29:32</v>
      </c>
      <c r="B40" s="3" t="str">
        <f>dados_01!B40</f>
        <v>3</v>
      </c>
      <c r="C40" s="3" t="str">
        <f>IFERROR(__xludf.dummyfunction("JOIN("". "", ARRAYFORMULA(IFERROR(LEFT(SPLIT(dados_01!C40, "" ""), 1))))"),"O. L. D. A")</f>
        <v>O. L. D. A</v>
      </c>
      <c r="D40" s="3" t="str">
        <f>dados_01!D40</f>
        <v>16/05/2024</v>
      </c>
      <c r="E40" s="3" t="str">
        <f>CONCATENATE(LEFT(dados_01!E40,3),REPT("*",6),RIGHT(dados_01!E40,2))</f>
        <v>002******90</v>
      </c>
      <c r="F40" s="3" t="str">
        <f>dados_01!F40</f>
        <v>INFANTIL 1</v>
      </c>
      <c r="G40" s="3" t="str">
        <f>dados_01!G40</f>
        <v>CEMEI PROFESSORA CIBELE DE ANDRADE MENDES DE AZEVEDO</v>
      </c>
      <c r="H40" s="3" t="str">
        <f>dados_01!H40</f>
        <v>REGIONAL 7</v>
      </c>
      <c r="I40" s="3">
        <f>dados_01!I40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 spans="1:26">
      <c r="A41" s="3" t="str">
        <f>dados_01!A41</f>
        <v>05/02/2026 15:38:24</v>
      </c>
      <c r="B41" s="3" t="str">
        <f>dados_01!B41</f>
        <v>4</v>
      </c>
      <c r="C41" s="3" t="str">
        <f>IFERROR(__xludf.dummyfunction("JOIN("". "", ARRAYFORMULA(IFERROR(LEFT(SPLIT(dados_01!C41, "" ""), 1))))"),"T. E. R. D. B")</f>
        <v>T. E. R. D. B</v>
      </c>
      <c r="D41" s="3" t="str">
        <f>dados_01!D41</f>
        <v>19/05/2024</v>
      </c>
      <c r="E41" s="3" t="str">
        <f>CONCATENATE(LEFT(dados_01!E41,3),REPT("*",6),RIGHT(dados_01!E41,2))</f>
        <v>003******75</v>
      </c>
      <c r="F41" s="3" t="str">
        <f>dados_01!F41</f>
        <v>INFANTIL 1</v>
      </c>
      <c r="G41" s="3" t="str">
        <f>dados_01!G41</f>
        <v>CEMEI PROFESSORA CIBELE DE ANDRADE MENDES DE AZEVEDO</v>
      </c>
      <c r="H41" s="3" t="str">
        <f>dados_01!H41</f>
        <v>REGIONAL 7</v>
      </c>
      <c r="I41" s="3">
        <f>dados_01!I41</f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 spans="1:26">
      <c r="A42" s="3" t="str">
        <f>dados_01!A42</f>
        <v>05/02/2026 20:35:45</v>
      </c>
      <c r="B42" s="3" t="str">
        <f>dados_01!B42</f>
        <v>5</v>
      </c>
      <c r="C42" s="3" t="str">
        <f>IFERROR(__xludf.dummyfunction("JOIN("". "", ARRAYFORMULA(IFERROR(LEFT(SPLIT(dados_01!C42, "" ""), 1))))"),"Y. B. D. S. A")</f>
        <v>Y. B. D. S. A</v>
      </c>
      <c r="D42" s="3" t="str">
        <f>dados_01!D42</f>
        <v>14/03/2025</v>
      </c>
      <c r="E42" s="3" t="str">
        <f>CONCATENATE(LEFT(dados_01!E42,3),REPT("*",6),RIGHT(dados_01!E42,2))</f>
        <v>005******33</v>
      </c>
      <c r="F42" s="3" t="str">
        <f>dados_01!F42</f>
        <v>INFANTIL 1</v>
      </c>
      <c r="G42" s="3" t="str">
        <f>dados_01!G42</f>
        <v>CEMEI PROFESSORA CIBELE DE ANDRADE MENDES DE AZEVEDO</v>
      </c>
      <c r="H42" s="3" t="str">
        <f>dados_01!H42</f>
        <v>REGIONAL 7</v>
      </c>
      <c r="I42" s="3">
        <f>dados_01!I42</f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 spans="1:26">
      <c r="A43" s="3" t="str">
        <f>dados_01!A43</f>
        <v>23/02/2026 14:03:33</v>
      </c>
      <c r="B43" s="3" t="str">
        <f>dados_01!B43</f>
        <v>6</v>
      </c>
      <c r="C43" s="3" t="str">
        <f>IFERROR(__xludf.dummyfunction("JOIN("". "", ARRAYFORMULA(IFERROR(LEFT(SPLIT(dados_01!C43, "" ""), 1))))"),"E. S. D. S")</f>
        <v>E. S. D. S</v>
      </c>
      <c r="D43" s="3" t="str">
        <f>dados_01!D43</f>
        <v>10/04/2024</v>
      </c>
      <c r="E43" s="3" t="str">
        <f>CONCATENATE(LEFT(dados_01!E43,3),REPT("*",6),RIGHT(dados_01!E43,2))</f>
        <v>002******63</v>
      </c>
      <c r="F43" s="3" t="str">
        <f>dados_01!F43</f>
        <v>INFANTIL 1</v>
      </c>
      <c r="G43" s="3" t="str">
        <f>dados_01!G43</f>
        <v>CEMEI PROFESSORA CIBELE DE ANDRADE MENDES DE AZEVEDO</v>
      </c>
      <c r="H43" s="3" t="str">
        <f>dados_01!H43</f>
        <v>REGIONAL 7</v>
      </c>
      <c r="I43" s="3">
        <f>dados_01!I43</f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 spans="1:26">
      <c r="A44" s="3" t="str">
        <f>dados_01!A44</f>
        <v>16/03/2026 10:09:54</v>
      </c>
      <c r="B44" s="3" t="str">
        <f>dados_01!B44</f>
        <v>7</v>
      </c>
      <c r="C44" s="3" t="str">
        <f>IFERROR(__xludf.dummyfunction("JOIN("". "", ARRAYFORMULA(IFERROR(LEFT(SPLIT(dados_01!C44, "" ""), 1))))"),"H. M. C. M. T")</f>
        <v>H. M. C. M. T</v>
      </c>
      <c r="D44" s="3" t="str">
        <f>dados_01!D44</f>
        <v>15/04/2024</v>
      </c>
      <c r="E44" s="3" t="str">
        <f>CONCATENATE(LEFT(dados_01!E44,3),REPT("*",6),RIGHT(dados_01!E44,2))</f>
        <v>002******57</v>
      </c>
      <c r="F44" s="3" t="str">
        <f>dados_01!F44</f>
        <v>INFANTIL 1</v>
      </c>
      <c r="G44" s="3" t="str">
        <f>dados_01!G44</f>
        <v>CEMEI PROFESSORA CIBELE DE ANDRADE MENDES DE AZEVEDO</v>
      </c>
      <c r="H44" s="3" t="str">
        <f>dados_01!H44</f>
        <v>REGIONAL 7</v>
      </c>
      <c r="I44" s="3">
        <f>dados_01!I44</f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 spans="1:26">
      <c r="A45" s="3" t="str">
        <f>dados_01!A45</f>
        <v>18/03/2026 12:28:10</v>
      </c>
      <c r="B45" s="3" t="str">
        <f>dados_01!B45</f>
        <v>8</v>
      </c>
      <c r="C45" s="3" t="str">
        <f>IFERROR(__xludf.dummyfunction("JOIN("". "", ARRAYFORMULA(IFERROR(LEFT(SPLIT(dados_01!C45, "" ""), 1))))"),"L. E. S. D. S")</f>
        <v>L. E. S. D. S</v>
      </c>
      <c r="D45" s="3" t="str">
        <f>dados_01!D45</f>
        <v>19/01/2026</v>
      </c>
      <c r="E45" s="3" t="str">
        <f>CONCATENATE(LEFT(dados_01!E45,3),REPT("*",6),RIGHT(dados_01!E45,2))</f>
        <v>045******34</v>
      </c>
      <c r="F45" s="3" t="str">
        <f>dados_01!F45</f>
        <v>INFANTIL 1</v>
      </c>
      <c r="G45" s="3" t="str">
        <f>dados_01!G45</f>
        <v>CEMEI PROFESSORA CIBELE DE ANDRADE MENDES DE AZEVEDO</v>
      </c>
      <c r="H45" s="3" t="str">
        <f>dados_01!H45</f>
        <v>REGIONAL 7</v>
      </c>
      <c r="I45" s="3">
        <f>dados_01!I45</f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 spans="1:26">
      <c r="A46" s="3" t="str">
        <f>dados_01!A46</f>
        <v>26/03/2026 18:22:32</v>
      </c>
      <c r="B46" s="3" t="str">
        <f>dados_01!B46</f>
        <v>9</v>
      </c>
      <c r="C46" s="3" t="str">
        <f>IFERROR(__xludf.dummyfunction("JOIN("". "", ARRAYFORMULA(IFERROR(LEFT(SPLIT(dados_01!C46, "" ""), 1))))"),"A. M. A. D. B")</f>
        <v>A. M. A. D. B</v>
      </c>
      <c r="D46" s="3" t="str">
        <f>dados_01!D46</f>
        <v>20/11/2024</v>
      </c>
      <c r="E46" s="3" t="str">
        <f>CONCATENATE(LEFT(dados_01!E46,3),REPT("*",6),RIGHT(dados_01!E46,2))</f>
        <v>004******56</v>
      </c>
      <c r="F46" s="3" t="str">
        <f>dados_01!F46</f>
        <v>INFANTIL 1</v>
      </c>
      <c r="G46" s="3" t="str">
        <f>dados_01!G46</f>
        <v>CEMEI PROFESSORA CIBELE DE ANDRADE MENDES DE AZEVEDO</v>
      </c>
      <c r="H46" s="3" t="str">
        <f>dados_01!H46</f>
        <v>REGIONAL 7</v>
      </c>
      <c r="I46" s="3">
        <f>dados_01!I46</f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 spans="1:26">
      <c r="A47" s="3" t="str">
        <f>dados_01!A47</f>
        <v>29/04/2026 15:44:18</v>
      </c>
      <c r="B47" s="3" t="str">
        <f>dados_01!B47</f>
        <v>10</v>
      </c>
      <c r="C47" s="3" t="str">
        <f>IFERROR(__xludf.dummyfunction("JOIN("". "", ARRAYFORMULA(IFERROR(LEFT(SPLIT(dados_01!C47, "" ""), 1))))"),"A. S. C. D. L")</f>
        <v>A. S. C. D. L</v>
      </c>
      <c r="D47" s="3" t="str">
        <f>dados_01!D47</f>
        <v>06/05/2025</v>
      </c>
      <c r="E47" s="3" t="str">
        <f>CONCATENATE(LEFT(dados_01!E47,3),REPT("*",6),RIGHT(dados_01!E47,2))</f>
        <v>006******16</v>
      </c>
      <c r="F47" s="3" t="str">
        <f>dados_01!F47</f>
        <v>INFANTIL 1</v>
      </c>
      <c r="G47" s="3" t="str">
        <f>dados_01!G47</f>
        <v>CEMEI PROFESSORA CIBELE DE ANDRADE MENDES DE AZEVEDO</v>
      </c>
      <c r="H47" s="3" t="str">
        <f>dados_01!H47</f>
        <v>REGIONAL 7</v>
      </c>
      <c r="I47" s="3">
        <f>dados_01!I47</f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 spans="1:26">
      <c r="A48" s="3" t="str">
        <f>dados_01!A48</f>
        <v>19/05/2026 10:34:49</v>
      </c>
      <c r="B48" s="3" t="str">
        <f>dados_01!B48</f>
        <v>11</v>
      </c>
      <c r="C48" s="3" t="str">
        <f>IFERROR(__xludf.dummyfunction("JOIN("". "", ARRAYFORMULA(IFERROR(LEFT(SPLIT(dados_01!C48, "" ""), 1))))"),"H. C. C")</f>
        <v>H. C. C</v>
      </c>
      <c r="D48" s="3" t="str">
        <f>dados_01!D48</f>
        <v>25/10/2025</v>
      </c>
      <c r="E48" s="3" t="str">
        <f>CONCATENATE(LEFT(dados_01!E48,3),REPT("*",6),RIGHT(dados_01!E48,2))</f>
        <v>017******72</v>
      </c>
      <c r="F48" s="3" t="str">
        <f>dados_01!F48</f>
        <v>INFANTIL 1</v>
      </c>
      <c r="G48" s="3" t="str">
        <f>dados_01!G48</f>
        <v>CEMEI PROFESSORA CIBELE DE ANDRADE MENDES DE AZEVEDO</v>
      </c>
      <c r="H48" s="3" t="str">
        <f>dados_01!H48</f>
        <v>REGIONAL 7</v>
      </c>
      <c r="I48" s="3">
        <f>dados_01!I48</f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 spans="1:26">
      <c r="A49" s="3" t="str">
        <f>dados_01!A49</f>
        <v>25/05/2026 18:01:52</v>
      </c>
      <c r="B49" s="3" t="str">
        <f>dados_01!B49</f>
        <v>12</v>
      </c>
      <c r="C49" s="3" t="str">
        <f>IFERROR(__xludf.dummyfunction("JOIN("". "", ARRAYFORMULA(IFERROR(LEFT(SPLIT(dados_01!C49, "" ""), 1))))"),"N. U. A. d. S")</f>
        <v>N. U. A. d. S</v>
      </c>
      <c r="D49" s="3" t="str">
        <f>dados_01!D49</f>
        <v>15/04/2025</v>
      </c>
      <c r="E49" s="3" t="str">
        <f>CONCATENATE(LEFT(dados_01!E49,3),REPT("*",6),RIGHT(dados_01!E49,2))</f>
        <v>005******36</v>
      </c>
      <c r="F49" s="3" t="str">
        <f>dados_01!F49</f>
        <v>INFANTIL 1</v>
      </c>
      <c r="G49" s="3" t="str">
        <f>dados_01!G49</f>
        <v>CEMEI PROFESSORA CIBELE DE ANDRADE MENDES DE AZEVEDO</v>
      </c>
      <c r="H49" s="3" t="str">
        <f>dados_01!H49</f>
        <v>REGIONAL 7</v>
      </c>
      <c r="I49" s="3">
        <f>dados_01!I49</f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 spans="1:26">
      <c r="A50" s="3" t="str">
        <f>dados_01!A50</f>
        <v>10/07/2026 10:10:23</v>
      </c>
      <c r="B50" s="3" t="str">
        <f>dados_01!B50</f>
        <v>13</v>
      </c>
      <c r="C50" s="3" t="str">
        <f>IFERROR(__xludf.dummyfunction("JOIN("". "", ARRAYFORMULA(IFERROR(LEFT(SPLIT(dados_01!C50, "" ""), 1))))"),"C. r. d. s. F")</f>
        <v>C. r. d. s. F</v>
      </c>
      <c r="D50" s="3" t="str">
        <f>dados_01!D50</f>
        <v>31/08/2024</v>
      </c>
      <c r="E50" s="3" t="str">
        <f>CONCATENATE(LEFT(dados_01!E50,3),REPT("*",6),RIGHT(dados_01!E50,2))</f>
        <v>004******57</v>
      </c>
      <c r="F50" s="3" t="str">
        <f>dados_01!F50</f>
        <v>INFANTIL 1</v>
      </c>
      <c r="G50" s="3" t="str">
        <f>dados_01!G50</f>
        <v>CEMEI PROFESSORA CIBELE DE ANDRADE MENDES DE AZEVEDO</v>
      </c>
      <c r="H50" s="3" t="str">
        <f>dados_01!H50</f>
        <v>REGIONAL 7</v>
      </c>
      <c r="I50" s="3">
        <f>dados_01!I50</f>
        <v>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 spans="1:26">
      <c r="A51" s="3" t="str">
        <f>dados_01!A51</f>
        <v>07/08/2026 09:49:30</v>
      </c>
      <c r="B51" s="3" t="str">
        <f>dados_01!B51</f>
        <v>14</v>
      </c>
      <c r="C51" s="3" t="str">
        <f>IFERROR(__xludf.dummyfunction("JOIN("". "", ARRAYFORMULA(IFERROR(LEFT(SPLIT(dados_01!C51, "" ""), 1))))"),"P. M. v. d. S")</f>
        <v>P. M. v. d. S</v>
      </c>
      <c r="D51" s="3" t="str">
        <f>dados_01!D51</f>
        <v>28/11/2024</v>
      </c>
      <c r="E51" s="3" t="str">
        <f>CONCATENATE(LEFT(dados_01!E51,3),REPT("*",6),RIGHT(dados_01!E51,2))</f>
        <v>004******35</v>
      </c>
      <c r="F51" s="3" t="str">
        <f>dados_01!F51</f>
        <v>INFANTIL 1</v>
      </c>
      <c r="G51" s="3" t="str">
        <f>dados_01!G51</f>
        <v>CEMEI PROFESSORA CIBELE DE ANDRADE MENDES DE AZEVEDO</v>
      </c>
      <c r="H51" s="3" t="str">
        <f>dados_01!H51</f>
        <v>REGIONAL 7</v>
      </c>
      <c r="I51" s="3">
        <f>dados_01!I51</f>
        <v>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 spans="1:26">
      <c r="A52" s="3" t="str">
        <f>dados_01!A52</f>
        <v>13/08/2026 11:11:04</v>
      </c>
      <c r="B52" s="3" t="str">
        <f>dados_01!B52</f>
        <v>15</v>
      </c>
      <c r="C52" s="3" t="str">
        <f>IFERROR(__xludf.dummyfunction("JOIN("". "", ARRAYFORMULA(IFERROR(LEFT(SPLIT(dados_01!C52, "" ""), 1))))"),"A. L. D. M. S")</f>
        <v>A. L. D. M. S</v>
      </c>
      <c r="D52" s="3" t="str">
        <f>dados_01!D52</f>
        <v>08/12/2025</v>
      </c>
      <c r="E52" s="3" t="str">
        <f>CONCATENATE(LEFT(dados_01!E52,3),REPT("*",6),RIGHT(dados_01!E52,2))</f>
        <v>033******68</v>
      </c>
      <c r="F52" s="3" t="str">
        <f>dados_01!F52</f>
        <v>INFANTIL 1</v>
      </c>
      <c r="G52" s="3" t="str">
        <f>dados_01!G52</f>
        <v>CEMEI PROFESSORA CIBELE DE ANDRADE MENDES DE AZEVEDO</v>
      </c>
      <c r="H52" s="3" t="str">
        <f>dados_01!H52</f>
        <v>REGIONAL 7</v>
      </c>
      <c r="I52" s="3">
        <f>dados_01!I52</f>
        <v>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 spans="1:26">
      <c r="A53" s="3" t="str">
        <f>dados_01!A53</f>
        <v>25/05/2026 18:09:35</v>
      </c>
      <c r="B53" s="3" t="str">
        <f>dados_01!B53</f>
        <v>1</v>
      </c>
      <c r="C53" s="3" t="str">
        <f>IFERROR(__xludf.dummyfunction("JOIN("". "", ARRAYFORMULA(IFERROR(LEFT(SPLIT(dados_01!C53, "" ""), 1))))"),"A. G. A. T. d. s")</f>
        <v>A. G. A. T. d. s</v>
      </c>
      <c r="D53" s="3" t="str">
        <f>dados_01!D53</f>
        <v>29/02/2024</v>
      </c>
      <c r="E53" s="3" t="str">
        <f>CONCATENATE(LEFT(dados_01!E53,3),REPT("*",6),RIGHT(dados_01!E53,2))</f>
        <v>002******20</v>
      </c>
      <c r="F53" s="3" t="str">
        <f>dados_01!F53</f>
        <v>INFANTIL 2</v>
      </c>
      <c r="G53" s="3" t="str">
        <f>dados_01!G53</f>
        <v>CEMEI PROFESSORA CIBELE DE ANDRADE MENDES DE AZEVEDO</v>
      </c>
      <c r="H53" s="3" t="str">
        <f>dados_01!H53</f>
        <v>REGIONAL 7</v>
      </c>
      <c r="I53" s="3">
        <f>dados_01!I53</f>
        <v>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 spans="1:26">
      <c r="A54" s="3" t="str">
        <f>dados_01!A54</f>
        <v>15/07/2026 09:23:39</v>
      </c>
      <c r="B54" s="3" t="str">
        <f>dados_01!B54</f>
        <v>2</v>
      </c>
      <c r="C54" s="3" t="str">
        <f>IFERROR(__xludf.dummyfunction("JOIN("". "", ARRAYFORMULA(IFERROR(LEFT(SPLIT(dados_01!C54, "" ""), 1))))"),"K. L. d. S")</f>
        <v>K. L. d. S</v>
      </c>
      <c r="D54" s="3" t="str">
        <f>dados_01!D54</f>
        <v>18/09/2023</v>
      </c>
      <c r="E54" s="3" t="str">
        <f>CONCATENATE(LEFT(dados_01!E54,3),REPT("*",6),RIGHT(dados_01!E54,2))</f>
        <v>186******37</v>
      </c>
      <c r="F54" s="3" t="str">
        <f>dados_01!F54</f>
        <v>INFANTIL 2</v>
      </c>
      <c r="G54" s="3" t="str">
        <f>dados_01!G54</f>
        <v>CEMEI PROFESSORA CIBELE DE ANDRADE MENDES DE AZEVEDO</v>
      </c>
      <c r="H54" s="3" t="str">
        <f>dados_01!H54</f>
        <v>REGIONAL 7</v>
      </c>
      <c r="I54" s="3">
        <f>dados_01!I54</f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 spans="1:26">
      <c r="A55" s="3" t="str">
        <f>dados_01!A55</f>
        <v>15/07/2026 09:23:44</v>
      </c>
      <c r="B55" s="3" t="str">
        <f>dados_01!B55</f>
        <v>3</v>
      </c>
      <c r="C55" s="3" t="str">
        <f>IFERROR(__xludf.dummyfunction("JOIN("". "", ARRAYFORMULA(IFERROR(LEFT(SPLIT(dados_01!C55, "" ""), 1))))"),"M. r. d. A")</f>
        <v>M. r. d. A</v>
      </c>
      <c r="D55" s="3" t="str">
        <f>dados_01!D55</f>
        <v>19/09/2023</v>
      </c>
      <c r="E55" s="3" t="str">
        <f>CONCATENATE(LEFT(dados_01!E55,3),REPT("*",6),RIGHT(dados_01!E55,2))</f>
        <v>001******84</v>
      </c>
      <c r="F55" s="3" t="str">
        <f>dados_01!F55</f>
        <v>INFANTIL 2</v>
      </c>
      <c r="G55" s="3" t="str">
        <f>dados_01!G55</f>
        <v>CEMEI PROFESSORA CIBELE DE ANDRADE MENDES DE AZEVEDO</v>
      </c>
      <c r="H55" s="3" t="str">
        <f>dados_01!H55</f>
        <v>REGIONAL 7</v>
      </c>
      <c r="I55" s="3">
        <f>dados_01!I55</f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 spans="1:26">
      <c r="A56" s="3" t="str">
        <f>dados_01!A56</f>
        <v>10/08/2026 08:46:38</v>
      </c>
      <c r="B56" s="3" t="str">
        <f>dados_01!B56</f>
        <v>4</v>
      </c>
      <c r="C56" s="3" t="str">
        <f>IFERROR(__xludf.dummyfunction("JOIN("". "", ARRAYFORMULA(IFERROR(LEFT(SPLIT(dados_01!C56, "" ""), 1))))"),"M. I. F. G")</f>
        <v>M. I. F. G</v>
      </c>
      <c r="D56" s="3" t="str">
        <f>dados_01!D56</f>
        <v>07/08/2023</v>
      </c>
      <c r="E56" s="3" t="str">
        <f>CONCATENATE(LEFT(dados_01!E56,3),REPT("*",6),RIGHT(dados_01!E56,2))</f>
        <v>186******57</v>
      </c>
      <c r="F56" s="3" t="str">
        <f>dados_01!F56</f>
        <v>INFANTIL 2</v>
      </c>
      <c r="G56" s="3" t="str">
        <f>dados_01!G56</f>
        <v>CEMEI PROFESSORA CIBELE DE ANDRADE MENDES DE AZEVEDO</v>
      </c>
      <c r="H56" s="3" t="str">
        <f>dados_01!H56</f>
        <v>REGIONAL 7</v>
      </c>
      <c r="I56" s="3">
        <f>dados_01!I56</f>
        <v>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 spans="1:26">
      <c r="A57" s="3" t="str">
        <f>dados_01!A57</f>
        <v>09/03/2026 13:36:35</v>
      </c>
      <c r="B57" s="3" t="str">
        <f>dados_01!B57</f>
        <v>1</v>
      </c>
      <c r="C57" s="3" t="str">
        <f>IFERROR(__xludf.dummyfunction("JOIN("". "", ARRAYFORMULA(IFERROR(LEFT(SPLIT(dados_01!C57, "" ""), 1))))"),"B. M")</f>
        <v>B. M</v>
      </c>
      <c r="D57" s="3" t="str">
        <f>dados_01!D57</f>
        <v>07/02/2023</v>
      </c>
      <c r="E57" s="3" t="str">
        <f>CONCATENATE(LEFT(dados_01!E57,3),REPT("*",6),RIGHT(dados_01!E57,2))</f>
        <v>006******11</v>
      </c>
      <c r="F57" s="3" t="str">
        <f>dados_01!F57</f>
        <v>INFANTIL 3</v>
      </c>
      <c r="G57" s="3" t="str">
        <f>dados_01!G57</f>
        <v>CEMEI PROFESSORA CIBELE DE ANDRADE MENDES DE AZEVEDO</v>
      </c>
      <c r="H57" s="3" t="str">
        <f>dados_01!H57</f>
        <v>REGIONAL 7</v>
      </c>
      <c r="I57" s="3">
        <f>dados_01!I57</f>
        <v>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 spans="1:26">
      <c r="A58" s="3" t="str">
        <f>dados_01!A58</f>
        <v>23/04/2026 10:57:36</v>
      </c>
      <c r="B58" s="3" t="str">
        <f>dados_01!B58</f>
        <v>2</v>
      </c>
      <c r="C58" s="3" t="str">
        <f>IFERROR(__xludf.dummyfunction("JOIN("". "", ARRAYFORMULA(IFERROR(LEFT(SPLIT(dados_01!C58, "" ""), 1))))"),"A. V. S. D. S")</f>
        <v>A. V. S. D. S</v>
      </c>
      <c r="D58" s="3" t="str">
        <f>dados_01!D58</f>
        <v>18/11/2022</v>
      </c>
      <c r="E58" s="3" t="str">
        <f>CONCATENATE(LEFT(dados_01!E58,3),REPT("*",6),RIGHT(dados_01!E58,2))</f>
        <v>183******13</v>
      </c>
      <c r="F58" s="3" t="str">
        <f>dados_01!F58</f>
        <v>INFANTIL 3</v>
      </c>
      <c r="G58" s="3" t="str">
        <f>dados_01!G58</f>
        <v>CEMEI PROFESSORA CIBELE DE ANDRADE MENDES DE AZEVEDO</v>
      </c>
      <c r="H58" s="3" t="str">
        <f>dados_01!H58</f>
        <v>REGIONAL 7</v>
      </c>
      <c r="I58" s="3">
        <f>dados_01!I58</f>
        <v>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 spans="1:26">
      <c r="A59" s="3" t="str">
        <f>dados_01!A59</f>
        <v>13/05/2026 10:59:27</v>
      </c>
      <c r="B59" s="3" t="str">
        <f>dados_01!B59</f>
        <v>3</v>
      </c>
      <c r="C59" s="3" t="str">
        <f>IFERROR(__xludf.dummyfunction("JOIN("". "", ARRAYFORMULA(IFERROR(LEFT(SPLIT(dados_01!C59, "" ""), 1))))"),"R. L. D. S. M")</f>
        <v>R. L. D. S. M</v>
      </c>
      <c r="D59" s="3" t="str">
        <f>dados_01!D59</f>
        <v>21/09/2022</v>
      </c>
      <c r="E59" s="3" t="str">
        <f>CONCATENATE(LEFT(dados_01!E59,3),REPT("*",6),RIGHT(dados_01!E59,2))</f>
        <v>182******16</v>
      </c>
      <c r="F59" s="3" t="str">
        <f>dados_01!F59</f>
        <v>INFANTIL 3</v>
      </c>
      <c r="G59" s="3" t="str">
        <f>dados_01!G59</f>
        <v>CEMEI PROFESSORA CIBELE DE ANDRADE MENDES DE AZEVEDO</v>
      </c>
      <c r="H59" s="3" t="str">
        <f>dados_01!H59</f>
        <v>REGIONAL 7</v>
      </c>
      <c r="I59" s="3">
        <f>dados_01!I59</f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 spans="1:26">
      <c r="A60" s="3" t="str">
        <f>dados_01!A60</f>
        <v>28/01/2026 08:08:37</v>
      </c>
      <c r="B60" s="3" t="str">
        <f>dados_01!B60</f>
        <v>1</v>
      </c>
      <c r="C60" s="3" t="str">
        <f>IFERROR(__xludf.dummyfunction("JOIN("". "", ARRAYFORMULA(IFERROR(LEFT(SPLIT(dados_01!C60, "" ""), 1))))"),"B. A. C. S")</f>
        <v>B. A. C. S</v>
      </c>
      <c r="D60" s="3" t="str">
        <f>dados_01!D60</f>
        <v>13/09/2024</v>
      </c>
      <c r="E60" s="3" t="str">
        <f>CONCATENATE(LEFT(dados_01!E60,3),REPT("*",6),RIGHT(dados_01!E60,2))</f>
        <v>004******74</v>
      </c>
      <c r="F60" s="3" t="str">
        <f>dados_01!F60</f>
        <v>INFANTIL 1</v>
      </c>
      <c r="G60" s="3" t="str">
        <f>dados_01!G60</f>
        <v>CEMEI PROFESSORA LINDOMAR DOMINGOS DA SILVA ANJOS</v>
      </c>
      <c r="H60" s="3" t="str">
        <f>dados_01!H60</f>
        <v>REGIONAL 5</v>
      </c>
      <c r="I60" s="3">
        <f>dados_01!I60</f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 spans="1:26">
      <c r="A61" s="3" t="str">
        <f>dados_01!A61</f>
        <v>28/01/2026 08:11:25</v>
      </c>
      <c r="B61" s="3" t="str">
        <f>dados_01!B61</f>
        <v>2</v>
      </c>
      <c r="C61" s="3" t="str">
        <f>IFERROR(__xludf.dummyfunction("JOIN("". "", ARRAYFORMULA(IFERROR(LEFT(SPLIT(dados_01!C61, "" ""), 1))))"),"A. L. C. D. S. M")</f>
        <v>A. L. C. D. S. M</v>
      </c>
      <c r="D61" s="3" t="str">
        <f>dados_01!D61</f>
        <v>20/04/2024</v>
      </c>
      <c r="E61" s="3" t="str">
        <f>CONCATENATE(LEFT(dados_01!E61,3),REPT("*",6),RIGHT(dados_01!E61,2))</f>
        <v>170******77</v>
      </c>
      <c r="F61" s="3" t="str">
        <f>dados_01!F61</f>
        <v>INFANTIL 1</v>
      </c>
      <c r="G61" s="3" t="str">
        <f>dados_01!G61</f>
        <v>CEMEI PROFESSORA LINDOMAR DOMINGOS DA SILVA ANJOS</v>
      </c>
      <c r="H61" s="3" t="str">
        <f>dados_01!H61</f>
        <v>REGIONAL 5</v>
      </c>
      <c r="I61" s="3">
        <f>dados_01!I61</f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 spans="1:26">
      <c r="A62" s="3" t="str">
        <f>dados_01!A62</f>
        <v>28/01/2026 08:13:45</v>
      </c>
      <c r="B62" s="3" t="str">
        <f>dados_01!B62</f>
        <v>3</v>
      </c>
      <c r="C62" s="3" t="str">
        <f>IFERROR(__xludf.dummyfunction("JOIN("". "", ARRAYFORMULA(IFERROR(LEFT(SPLIT(dados_01!C62, "" ""), 1))))"),"G. L. C. D. S")</f>
        <v>G. L. C. D. S</v>
      </c>
      <c r="D62" s="3" t="str">
        <f>dados_01!D62</f>
        <v>18/07/2024</v>
      </c>
      <c r="E62" s="3" t="str">
        <f>CONCATENATE(LEFT(dados_01!E62,3),REPT("*",6),RIGHT(dados_01!E62,2))</f>
        <v>003******31</v>
      </c>
      <c r="F62" s="3" t="str">
        <f>dados_01!F62</f>
        <v>INFANTIL 1</v>
      </c>
      <c r="G62" s="3" t="str">
        <f>dados_01!G62</f>
        <v>CEMEI PROFESSORA LINDOMAR DOMINGOS DA SILVA ANJOS</v>
      </c>
      <c r="H62" s="3" t="str">
        <f>dados_01!H62</f>
        <v>REGIONAL 5</v>
      </c>
      <c r="I62" s="3">
        <f>dados_01!I62</f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 spans="1:26">
      <c r="A63" s="3" t="str">
        <f>dados_01!A63</f>
        <v>28/01/2026 08:25:22</v>
      </c>
      <c r="B63" s="3" t="str">
        <f>dados_01!B63</f>
        <v>4</v>
      </c>
      <c r="C63" s="3" t="str">
        <f>IFERROR(__xludf.dummyfunction("JOIN("". "", ARRAYFORMULA(IFERROR(LEFT(SPLIT(dados_01!C63, "" ""), 1))))"),"H. M. B. D. S")</f>
        <v>H. M. B. D. S</v>
      </c>
      <c r="D63" s="3" t="str">
        <f>dados_01!D63</f>
        <v>02/11/2024</v>
      </c>
      <c r="E63" s="3" t="str">
        <f>CONCATENATE(LEFT(dados_01!E63,3),REPT("*",6),RIGHT(dados_01!E63,2))</f>
        <v>004******61</v>
      </c>
      <c r="F63" s="3" t="str">
        <f>dados_01!F63</f>
        <v>INFANTIL 1</v>
      </c>
      <c r="G63" s="3" t="str">
        <f>dados_01!G63</f>
        <v>CEMEI PROFESSORA LINDOMAR DOMINGOS DA SILVA ANJOS</v>
      </c>
      <c r="H63" s="3" t="str">
        <f>dados_01!H63</f>
        <v>REGIONAL 5</v>
      </c>
      <c r="I63" s="3">
        <f>dados_01!I63</f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 spans="1:26">
      <c r="A64" s="3" t="str">
        <f>dados_01!A64</f>
        <v>28/01/2026 09:18:21</v>
      </c>
      <c r="B64" s="3" t="str">
        <f>dados_01!B64</f>
        <v>5</v>
      </c>
      <c r="C64" s="3" t="str">
        <f>IFERROR(__xludf.dummyfunction("JOIN("". "", ARRAYFORMULA(IFERROR(LEFT(SPLIT(dados_01!C64, "" ""), 1))))"),"H. F. M. D. S")</f>
        <v>H. F. M. D. S</v>
      </c>
      <c r="D64" s="3" t="str">
        <f>dados_01!D64</f>
        <v>15/01/2025</v>
      </c>
      <c r="E64" s="3" t="str">
        <f>CONCATENATE(LEFT(dados_01!E64,3),REPT("*",6),RIGHT(dados_01!E64,2))</f>
        <v>005******11</v>
      </c>
      <c r="F64" s="3" t="str">
        <f>dados_01!F64</f>
        <v>INFANTIL 1</v>
      </c>
      <c r="G64" s="3" t="str">
        <f>dados_01!G64</f>
        <v>CEMEI PROFESSORA LINDOMAR DOMINGOS DA SILVA ANJOS</v>
      </c>
      <c r="H64" s="3" t="str">
        <f>dados_01!H64</f>
        <v>REGIONAL 5</v>
      </c>
      <c r="I64" s="3">
        <f>dados_01!I64</f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 spans="1:26">
      <c r="A65" s="3" t="str">
        <f>dados_01!A65</f>
        <v>28/01/2026 09:33:11</v>
      </c>
      <c r="B65" s="3" t="str">
        <f>dados_01!B65</f>
        <v>6</v>
      </c>
      <c r="C65" s="3" t="str">
        <f>IFERROR(__xludf.dummyfunction("JOIN("". "", ARRAYFORMULA(IFERROR(LEFT(SPLIT(dados_01!C65, "" ""), 1))))"),"J. E. D. S")</f>
        <v>J. E. D. S</v>
      </c>
      <c r="D65" s="3" t="str">
        <f>dados_01!D65</f>
        <v>23/06/2024</v>
      </c>
      <c r="E65" s="3" t="str">
        <f>CONCATENATE(LEFT(dados_01!E65,3),REPT("*",6),RIGHT(dados_01!E65,2))</f>
        <v>004******68</v>
      </c>
      <c r="F65" s="3" t="str">
        <f>dados_01!F65</f>
        <v>INFANTIL 1</v>
      </c>
      <c r="G65" s="3" t="str">
        <f>dados_01!G65</f>
        <v>CEMEI PROFESSORA LINDOMAR DOMINGOS DA SILVA ANJOS</v>
      </c>
      <c r="H65" s="3" t="str">
        <f>dados_01!H65</f>
        <v>REGIONAL 5</v>
      </c>
      <c r="I65" s="3">
        <f>dados_01!I65</f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 spans="1:26">
      <c r="A66" s="3" t="str">
        <f>dados_01!A66</f>
        <v>28/01/2026 09:38:34</v>
      </c>
      <c r="B66" s="3" t="str">
        <f>dados_01!B66</f>
        <v>7</v>
      </c>
      <c r="C66" s="3" t="str">
        <f>IFERROR(__xludf.dummyfunction("JOIN("". "", ARRAYFORMULA(IFERROR(LEFT(SPLIT(dados_01!C66, "" ""), 1))))"),"A. G. F. S")</f>
        <v>A. G. F. S</v>
      </c>
      <c r="D66" s="3" t="str">
        <f>dados_01!D66</f>
        <v>31/05/2024</v>
      </c>
      <c r="E66" s="3" t="str">
        <f>CONCATENATE(LEFT(dados_01!E66,3),REPT("*",6),RIGHT(dados_01!E66,2))</f>
        <v>003******24</v>
      </c>
      <c r="F66" s="3" t="str">
        <f>dados_01!F66</f>
        <v>INFANTIL 1</v>
      </c>
      <c r="G66" s="3" t="str">
        <f>dados_01!G66</f>
        <v>CEMEI PROFESSORA LINDOMAR DOMINGOS DA SILVA ANJOS</v>
      </c>
      <c r="H66" s="3" t="str">
        <f>dados_01!H66</f>
        <v>REGIONAL 5</v>
      </c>
      <c r="I66" s="3">
        <f>dados_01!I66</f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 spans="1:26">
      <c r="A67" s="3" t="str">
        <f>dados_01!A67</f>
        <v>28/01/2026 10:45:36</v>
      </c>
      <c r="B67" s="3" t="str">
        <f>dados_01!B67</f>
        <v>8</v>
      </c>
      <c r="C67" s="3" t="str">
        <f>IFERROR(__xludf.dummyfunction("JOIN("". "", ARRAYFORMULA(IFERROR(LEFT(SPLIT(dados_01!C67, "" ""), 1))))"),"T. M. D. S")</f>
        <v>T. M. D. S</v>
      </c>
      <c r="D67" s="3" t="str">
        <f>dados_01!D67</f>
        <v>25/11/2024</v>
      </c>
      <c r="E67" s="3" t="str">
        <f>CONCATENATE(LEFT(dados_01!E67,3),REPT("*",6),RIGHT(dados_01!E67,2))</f>
        <v>004******16</v>
      </c>
      <c r="F67" s="3" t="str">
        <f>dados_01!F67</f>
        <v>INFANTIL 1</v>
      </c>
      <c r="G67" s="3" t="str">
        <f>dados_01!G67</f>
        <v>CEMEI PROFESSORA LINDOMAR DOMINGOS DA SILVA ANJOS</v>
      </c>
      <c r="H67" s="3" t="str">
        <f>dados_01!H67</f>
        <v>REGIONAL 5</v>
      </c>
      <c r="I67" s="3">
        <f>dados_01!I67</f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 spans="1:26">
      <c r="A68" s="3" t="str">
        <f>dados_01!A68</f>
        <v>28/01/2026 12:49:55</v>
      </c>
      <c r="B68" s="3" t="str">
        <f>dados_01!B68</f>
        <v>9</v>
      </c>
      <c r="C68" s="3" t="str">
        <f>IFERROR(__xludf.dummyfunction("JOIN("". "", ARRAYFORMULA(IFERROR(LEFT(SPLIT(dados_01!C68, "" ""), 1))))"),"K. C. F. S. D. S")</f>
        <v>K. C. F. S. D. S</v>
      </c>
      <c r="D68" s="3" t="str">
        <f>dados_01!D68</f>
        <v>10/09/2024</v>
      </c>
      <c r="E68" s="3" t="str">
        <f>CONCATENATE(LEFT(dados_01!E68,3),REPT("*",6),RIGHT(dados_01!E68,2))</f>
        <v>004******30</v>
      </c>
      <c r="F68" s="3" t="str">
        <f>dados_01!F68</f>
        <v>INFANTIL 1</v>
      </c>
      <c r="G68" s="3" t="str">
        <f>dados_01!G68</f>
        <v>CEMEI PROFESSORA LINDOMAR DOMINGOS DA SILVA ANJOS</v>
      </c>
      <c r="H68" s="3" t="str">
        <f>dados_01!H68</f>
        <v>REGIONAL 5</v>
      </c>
      <c r="I68" s="3">
        <f>dados_01!I68</f>
        <v>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 spans="1:26">
      <c r="A69" s="3" t="str">
        <f>dados_01!A69</f>
        <v>28/01/2026 20:34:21</v>
      </c>
      <c r="B69" s="3" t="str">
        <f>dados_01!B69</f>
        <v>10</v>
      </c>
      <c r="C69" s="3" t="str">
        <f>IFERROR(__xludf.dummyfunction("JOIN("". "", ARRAYFORMULA(IFERROR(LEFT(SPLIT(dados_01!C69, "" ""), 1))))"),"L. H. P. D. S")</f>
        <v>L. H. P. D. S</v>
      </c>
      <c r="D69" s="3" t="str">
        <f>dados_01!D69</f>
        <v>01/04/2024</v>
      </c>
      <c r="E69" s="3" t="str">
        <f>CONCATENATE(LEFT(dados_01!E69,3),REPT("*",6),RIGHT(dados_01!E69,2))</f>
        <v>002******69</v>
      </c>
      <c r="F69" s="3" t="str">
        <f>dados_01!F69</f>
        <v>INFANTIL 1</v>
      </c>
      <c r="G69" s="3" t="str">
        <f>dados_01!G69</f>
        <v>CEMEI PROFESSORA LINDOMAR DOMINGOS DA SILVA ANJOS</v>
      </c>
      <c r="H69" s="3" t="str">
        <f>dados_01!H69</f>
        <v>REGIONAL 5</v>
      </c>
      <c r="I69" s="3">
        <f>dados_01!I69</f>
        <v>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 spans="1:26">
      <c r="A70" s="3" t="str">
        <f>dados_01!A70</f>
        <v>06/02/2026 14:12:06</v>
      </c>
      <c r="B70" s="3" t="str">
        <f>dados_01!B70</f>
        <v>11</v>
      </c>
      <c r="C70" s="3" t="str">
        <f>IFERROR(__xludf.dummyfunction("JOIN("". "", ARRAYFORMULA(IFERROR(LEFT(SPLIT(dados_01!C70, "" ""), 1))))"),"V. M. D. S. F")</f>
        <v>V. M. D. S. F</v>
      </c>
      <c r="D70" s="3" t="str">
        <f>dados_01!D70</f>
        <v>16/04/2024</v>
      </c>
      <c r="E70" s="3" t="str">
        <f>CONCATENATE(LEFT(dados_01!E70,3),REPT("*",6),RIGHT(dados_01!E70,2))</f>
        <v>003******09</v>
      </c>
      <c r="F70" s="3" t="str">
        <f>dados_01!F70</f>
        <v>INFANTIL 1</v>
      </c>
      <c r="G70" s="3" t="str">
        <f>dados_01!G70</f>
        <v>CEMEI PROFESSORA LINDOMAR DOMINGOS DA SILVA ANJOS</v>
      </c>
      <c r="H70" s="3" t="str">
        <f>dados_01!H70</f>
        <v>REGIONAL 5</v>
      </c>
      <c r="I70" s="3">
        <f>dados_01!I70</f>
        <v>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 spans="1:26">
      <c r="A71" s="3" t="str">
        <f>dados_01!A71</f>
        <v>11/02/2026 09:26:12</v>
      </c>
      <c r="B71" s="3" t="str">
        <f>dados_01!B71</f>
        <v>12</v>
      </c>
      <c r="C71" s="3" t="str">
        <f>IFERROR(__xludf.dummyfunction("JOIN("". "", ARRAYFORMULA(IFERROR(LEFT(SPLIT(dados_01!C71, "" ""), 1))))"),"K. I. D. S. S")</f>
        <v>K. I. D. S. S</v>
      </c>
      <c r="D71" s="3" t="str">
        <f>dados_01!D71</f>
        <v>13/09/2024</v>
      </c>
      <c r="E71" s="3" t="str">
        <f>CONCATENATE(LEFT(dados_01!E71,3),REPT("*",6),RIGHT(dados_01!E71,2))</f>
        <v>004******62</v>
      </c>
      <c r="F71" s="3" t="str">
        <f>dados_01!F71</f>
        <v>INFANTIL 1</v>
      </c>
      <c r="G71" s="3" t="str">
        <f>dados_01!G71</f>
        <v>CEMEI PROFESSORA LINDOMAR DOMINGOS DA SILVA ANJOS</v>
      </c>
      <c r="H71" s="3" t="str">
        <f>dados_01!H71</f>
        <v>REGIONAL 5</v>
      </c>
      <c r="I71" s="3">
        <f>dados_01!I71</f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 spans="1:26">
      <c r="A72" s="3" t="str">
        <f>dados_01!A72</f>
        <v>26/02/2026 23:54:06</v>
      </c>
      <c r="B72" s="3" t="str">
        <f>dados_01!B72</f>
        <v>13</v>
      </c>
      <c r="C72" s="3" t="str">
        <f>IFERROR(__xludf.dummyfunction("JOIN("". "", ARRAYFORMULA(IFERROR(LEFT(SPLIT(dados_01!C72, "" ""), 1))))"),"A. M. D. S. R")</f>
        <v>A. M. D. S. R</v>
      </c>
      <c r="D72" s="3" t="str">
        <f>dados_01!D72</f>
        <v>21/01/2025</v>
      </c>
      <c r="E72" s="3" t="str">
        <f>CONCATENATE(LEFT(dados_01!E72,3),REPT("*",6),RIGHT(dados_01!E72,2))</f>
        <v>005******50</v>
      </c>
      <c r="F72" s="3" t="str">
        <f>dados_01!F72</f>
        <v>INFANTIL 1</v>
      </c>
      <c r="G72" s="3" t="str">
        <f>dados_01!G72</f>
        <v>CEMEI PROFESSORA LINDOMAR DOMINGOS DA SILVA ANJOS</v>
      </c>
      <c r="H72" s="3" t="str">
        <f>dados_01!H72</f>
        <v>REGIONAL 5</v>
      </c>
      <c r="I72" s="3">
        <f>dados_01!I72</f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 spans="1:26">
      <c r="A73" s="3" t="str">
        <f>dados_01!A73</f>
        <v>03/03/2026 13:59:55</v>
      </c>
      <c r="B73" s="3" t="str">
        <f>dados_01!B73</f>
        <v>14</v>
      </c>
      <c r="C73" s="3" t="str">
        <f>IFERROR(__xludf.dummyfunction("JOIN("". "", ARRAYFORMULA(IFERROR(LEFT(SPLIT(dados_01!C73, "" ""), 1))))"),"G. A. D. D. M")</f>
        <v>G. A. D. D. M</v>
      </c>
      <c r="D73" s="3" t="str">
        <f>dados_01!D73</f>
        <v>05/04/2025</v>
      </c>
      <c r="E73" s="3" t="str">
        <f>CONCATENATE(LEFT(dados_01!E73,3),REPT("*",6),RIGHT(dados_01!E73,2))</f>
        <v>005******94</v>
      </c>
      <c r="F73" s="3" t="str">
        <f>dados_01!F73</f>
        <v>INFANTIL 1</v>
      </c>
      <c r="G73" s="3" t="str">
        <f>dados_01!G73</f>
        <v>CEMEI PROFESSORA LINDOMAR DOMINGOS DA SILVA ANJOS</v>
      </c>
      <c r="H73" s="3" t="str">
        <f>dados_01!H73</f>
        <v>REGIONAL 5</v>
      </c>
      <c r="I73" s="3">
        <f>dados_01!I73</f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 spans="1:26">
      <c r="A74" s="3" t="str">
        <f>dados_01!A74</f>
        <v>04/03/2026 10:32:01</v>
      </c>
      <c r="B74" s="3" t="str">
        <f>dados_01!B74</f>
        <v>15</v>
      </c>
      <c r="C74" s="3" t="str">
        <f>IFERROR(__xludf.dummyfunction("JOIN("". "", ARRAYFORMULA(IFERROR(LEFT(SPLIT(dados_01!C74, "" ""), 1))))"),"N. D. M. D. S")</f>
        <v>N. D. M. D. S</v>
      </c>
      <c r="D74" s="3" t="str">
        <f>dados_01!D74</f>
        <v>21/05/2025</v>
      </c>
      <c r="E74" s="3" t="str">
        <f>CONCATENATE(LEFT(dados_01!E74,3),REPT("*",6),RIGHT(dados_01!E74,2))</f>
        <v>006******45</v>
      </c>
      <c r="F74" s="3" t="str">
        <f>dados_01!F74</f>
        <v>INFANTIL 1</v>
      </c>
      <c r="G74" s="3" t="str">
        <f>dados_01!G74</f>
        <v>CEMEI PROFESSORA LINDOMAR DOMINGOS DA SILVA ANJOS</v>
      </c>
      <c r="H74" s="3" t="str">
        <f>dados_01!H74</f>
        <v>REGIONAL 5</v>
      </c>
      <c r="I74" s="3">
        <f>dados_01!I74</f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 spans="1:26">
      <c r="A75" s="3" t="str">
        <f>dados_01!A75</f>
        <v>23/03/2026 12:35:29</v>
      </c>
      <c r="B75" s="3" t="str">
        <f>dados_01!B75</f>
        <v>16</v>
      </c>
      <c r="C75" s="3" t="str">
        <f>IFERROR(__xludf.dummyfunction("JOIN("". "", ARRAYFORMULA(IFERROR(LEFT(SPLIT(dados_01!C75, "" ""), 1))))"),"R. G. D. R. P")</f>
        <v>R. G. D. R. P</v>
      </c>
      <c r="D75" s="3" t="str">
        <f>dados_01!D75</f>
        <v>07/11/2025</v>
      </c>
      <c r="E75" s="3" t="str">
        <f>CONCATENATE(LEFT(dados_01!E75,3),REPT("*",6),RIGHT(dados_01!E75,2))</f>
        <v>022******15</v>
      </c>
      <c r="F75" s="3" t="str">
        <f>dados_01!F75</f>
        <v>INFANTIL 1</v>
      </c>
      <c r="G75" s="3" t="str">
        <f>dados_01!G75</f>
        <v>CEMEI PROFESSORA LINDOMAR DOMINGOS DA SILVA ANJOS</v>
      </c>
      <c r="H75" s="3" t="str">
        <f>dados_01!H75</f>
        <v>REGIONAL 5</v>
      </c>
      <c r="I75" s="3">
        <f>dados_01!I75</f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 spans="1:26">
      <c r="A76" s="3" t="str">
        <f>dados_01!A76</f>
        <v>30/03/2026 09:26:51</v>
      </c>
      <c r="B76" s="3" t="str">
        <f>dados_01!B76</f>
        <v>17</v>
      </c>
      <c r="C76" s="3" t="str">
        <f>IFERROR(__xludf.dummyfunction("JOIN("". "", ARRAYFORMULA(IFERROR(LEFT(SPLIT(dados_01!C76, "" ""), 1))))"),"F. C. M")</f>
        <v>F. C. M</v>
      </c>
      <c r="D76" s="3" t="str">
        <f>dados_01!D76</f>
        <v>26/11/2025</v>
      </c>
      <c r="E76" s="3" t="str">
        <f>CONCATENATE(LEFT(dados_01!E76,3),REPT("*",6),RIGHT(dados_01!E76,2))</f>
        <v>027******72</v>
      </c>
      <c r="F76" s="3" t="str">
        <f>dados_01!F76</f>
        <v>INFANTIL 1</v>
      </c>
      <c r="G76" s="3" t="str">
        <f>dados_01!G76</f>
        <v>CEMEI PROFESSORA LINDOMAR DOMINGOS DA SILVA ANJOS</v>
      </c>
      <c r="H76" s="3" t="str">
        <f>dados_01!H76</f>
        <v>REGIONAL 5</v>
      </c>
      <c r="I76" s="3">
        <f>dados_01!I76</f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 spans="1:26">
      <c r="A77" s="3" t="str">
        <f>dados_01!A77</f>
        <v>01/04/2026 11:07:18</v>
      </c>
      <c r="B77" s="3" t="str">
        <f>dados_01!B77</f>
        <v>18</v>
      </c>
      <c r="C77" s="3" t="str">
        <f>IFERROR(__xludf.dummyfunction("JOIN("". "", ARRAYFORMULA(IFERROR(LEFT(SPLIT(dados_01!C77, "" ""), 1))))"),"M. I. S. S")</f>
        <v>M. I. S. S</v>
      </c>
      <c r="D77" s="3" t="str">
        <f>dados_01!D77</f>
        <v>03/09/2024</v>
      </c>
      <c r="E77" s="3" t="str">
        <f>CONCATENATE(LEFT(dados_01!E77,3),REPT("*",6),RIGHT(dados_01!E77,2))</f>
        <v>054******71</v>
      </c>
      <c r="F77" s="3" t="str">
        <f>dados_01!F77</f>
        <v>INFANTIL 1</v>
      </c>
      <c r="G77" s="3" t="str">
        <f>dados_01!G77</f>
        <v>CEMEI PROFESSORA LINDOMAR DOMINGOS DA SILVA ANJOS</v>
      </c>
      <c r="H77" s="3" t="str">
        <f>dados_01!H77</f>
        <v>REGIONAL 5</v>
      </c>
      <c r="I77" s="3">
        <f>dados_01!I77</f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 spans="1:26">
      <c r="A78" s="3" t="str">
        <f>dados_01!A78</f>
        <v>08/04/2026 16:32:34</v>
      </c>
      <c r="B78" s="3" t="str">
        <f>dados_01!B78</f>
        <v>19</v>
      </c>
      <c r="C78" s="3" t="str">
        <f>IFERROR(__xludf.dummyfunction("JOIN("". "", ARRAYFORMULA(IFERROR(LEFT(SPLIT(dados_01!C78, "" ""), 1))))"),"M. B. M. A")</f>
        <v>M. B. M. A</v>
      </c>
      <c r="D78" s="3" t="str">
        <f>dados_01!D78</f>
        <v>01/04/2025</v>
      </c>
      <c r="E78" s="3" t="str">
        <f>CONCATENATE(LEFT(dados_01!E78,3),REPT("*",6),RIGHT(dados_01!E78,2))</f>
        <v>005******85</v>
      </c>
      <c r="F78" s="3" t="str">
        <f>dados_01!F78</f>
        <v>INFANTIL 1</v>
      </c>
      <c r="G78" s="3" t="str">
        <f>dados_01!G78</f>
        <v>CEMEI PROFESSORA LINDOMAR DOMINGOS DA SILVA ANJOS</v>
      </c>
      <c r="H78" s="3" t="str">
        <f>dados_01!H78</f>
        <v>REGIONAL 5</v>
      </c>
      <c r="I78" s="3">
        <f>dados_01!I78</f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 spans="1:26">
      <c r="A79" s="3" t="str">
        <f>dados_01!A79</f>
        <v>15/04/2026 13:07:53</v>
      </c>
      <c r="B79" s="3" t="str">
        <f>dados_01!B79</f>
        <v>20</v>
      </c>
      <c r="C79" s="3" t="str">
        <f>IFERROR(__xludf.dummyfunction("JOIN("". "", ARRAYFORMULA(IFERROR(LEFT(SPLIT(dados_01!C79, "" ""), 1))))"),"H. R. M")</f>
        <v>H. R. M</v>
      </c>
      <c r="D79" s="3" t="str">
        <f>dados_01!D79</f>
        <v>30/08/2025</v>
      </c>
      <c r="E79" s="3" t="str">
        <f>CONCATENATE(LEFT(dados_01!E79,3),REPT("*",6),RIGHT(dados_01!E79,2))</f>
        <v>007******44</v>
      </c>
      <c r="F79" s="3" t="str">
        <f>dados_01!F79</f>
        <v>INFANTIL 1</v>
      </c>
      <c r="G79" s="3" t="str">
        <f>dados_01!G79</f>
        <v>CEMEI PROFESSORA LINDOMAR DOMINGOS DA SILVA ANJOS</v>
      </c>
      <c r="H79" s="3" t="str">
        <f>dados_01!H79</f>
        <v>REGIONAL 5</v>
      </c>
      <c r="I79" s="3">
        <f>dados_01!I79</f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 spans="1:26">
      <c r="A80" s="3" t="str">
        <f>dados_01!A80</f>
        <v>04/05/2026 10:11:49</v>
      </c>
      <c r="B80" s="3" t="str">
        <f>dados_01!B80</f>
        <v>21</v>
      </c>
      <c r="C80" s="3" t="str">
        <f>IFERROR(__xludf.dummyfunction("JOIN("". "", ARRAYFORMULA(IFERROR(LEFT(SPLIT(dados_01!C80, "" ""), 1))))"),"M. A. D. A. E")</f>
        <v>M. A. D. A. E</v>
      </c>
      <c r="D80" s="3" t="str">
        <f>dados_01!D80</f>
        <v>11/03/2025</v>
      </c>
      <c r="E80" s="3" t="str">
        <f>CONCATENATE(LEFT(dados_01!E80,3),REPT("*",6),RIGHT(dados_01!E80,2))</f>
        <v>005******59</v>
      </c>
      <c r="F80" s="3" t="str">
        <f>dados_01!F80</f>
        <v>INFANTIL 1</v>
      </c>
      <c r="G80" s="3" t="str">
        <f>dados_01!G80</f>
        <v>CEMEI PROFESSORA LINDOMAR DOMINGOS DA SILVA ANJOS</v>
      </c>
      <c r="H80" s="3" t="str">
        <f>dados_01!H80</f>
        <v>REGIONAL 5</v>
      </c>
      <c r="I80" s="3">
        <f>dados_01!I80</f>
        <v>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 spans="1:26">
      <c r="A81" s="3" t="str">
        <f>dados_01!A81</f>
        <v>15/05/2026 11:54:29</v>
      </c>
      <c r="B81" s="3" t="str">
        <f>dados_01!B81</f>
        <v>22</v>
      </c>
      <c r="C81" s="3" t="str">
        <f>IFERROR(__xludf.dummyfunction("JOIN("". "", ARRAYFORMULA(IFERROR(LEFT(SPLIT(dados_01!C81, "" ""), 1))))"),"A. M. S. D. S")</f>
        <v>A. M. S. D. S</v>
      </c>
      <c r="D81" s="3" t="str">
        <f>dados_01!D81</f>
        <v>10/09/2024</v>
      </c>
      <c r="E81" s="3" t="str">
        <f>CONCATENATE(LEFT(dados_01!E81,3),REPT("*",6),RIGHT(dados_01!E81,2))</f>
        <v>004******58</v>
      </c>
      <c r="F81" s="3" t="str">
        <f>dados_01!F81</f>
        <v>INFANTIL 1</v>
      </c>
      <c r="G81" s="3" t="str">
        <f>dados_01!G81</f>
        <v>CEMEI PROFESSORA LINDOMAR DOMINGOS DA SILVA ANJOS</v>
      </c>
      <c r="H81" s="3" t="str">
        <f>dados_01!H81</f>
        <v>REGIONAL 5</v>
      </c>
      <c r="I81" s="3">
        <f>dados_01!I81</f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 spans="1:26">
      <c r="A82" s="3" t="str">
        <f>dados_01!A82</f>
        <v>15/05/2026 12:03:27</v>
      </c>
      <c r="B82" s="3" t="str">
        <f>dados_01!B82</f>
        <v>23</v>
      </c>
      <c r="C82" s="3" t="str">
        <f>IFERROR(__xludf.dummyfunction("JOIN("". "", ARRAYFORMULA(IFERROR(LEFT(SPLIT(dados_01!C82, "" ""), 1))))"),"A. K. S. D. S")</f>
        <v>A. K. S. D. S</v>
      </c>
      <c r="D82" s="3" t="str">
        <f>dados_01!D82</f>
        <v>10/09/2024</v>
      </c>
      <c r="E82" s="3" t="str">
        <f>CONCATENATE(LEFT(dados_01!E82,3),REPT("*",6),RIGHT(dados_01!E82,2))</f>
        <v>004******02</v>
      </c>
      <c r="F82" s="3" t="str">
        <f>dados_01!F82</f>
        <v>INFANTIL 1</v>
      </c>
      <c r="G82" s="3" t="str">
        <f>dados_01!G82</f>
        <v>CEMEI PROFESSORA LINDOMAR DOMINGOS DA SILVA ANJOS</v>
      </c>
      <c r="H82" s="3" t="str">
        <f>dados_01!H82</f>
        <v>REGIONAL 5</v>
      </c>
      <c r="I82" s="3">
        <f>dados_01!I82</f>
        <v>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 spans="1:26">
      <c r="A83" s="3" t="str">
        <f>dados_01!A83</f>
        <v>30/05/2026 11:24:31</v>
      </c>
      <c r="B83" s="3" t="str">
        <f>dados_01!B83</f>
        <v>24</v>
      </c>
      <c r="C83" s="3" t="str">
        <f>IFERROR(__xludf.dummyfunction("JOIN("". "", ARRAYFORMULA(IFERROR(LEFT(SPLIT(dados_01!C83, "" ""), 1))))"),"N. R. F. d. S")</f>
        <v>N. R. F. d. S</v>
      </c>
      <c r="D83" s="3" t="str">
        <f>dados_01!D83</f>
        <v>10/10/2024</v>
      </c>
      <c r="E83" s="3" t="str">
        <f>CONCATENATE(LEFT(dados_01!E83,3),REPT("*",6),RIGHT(dados_01!E83,2))</f>
        <v>004******85</v>
      </c>
      <c r="F83" s="3" t="str">
        <f>dados_01!F83</f>
        <v>INFANTIL 1</v>
      </c>
      <c r="G83" s="3" t="str">
        <f>dados_01!G83</f>
        <v>CEMEI PROFESSORA LINDOMAR DOMINGOS DA SILVA ANJOS</v>
      </c>
      <c r="H83" s="3" t="str">
        <f>dados_01!H83</f>
        <v>REGIONAL 5</v>
      </c>
      <c r="I83" s="3">
        <f>dados_01!I83</f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 spans="1:26">
      <c r="A84" s="3" t="str">
        <f>dados_01!A84</f>
        <v>01/06/2026 13:25:04</v>
      </c>
      <c r="B84" s="3" t="str">
        <f>dados_01!B84</f>
        <v>25</v>
      </c>
      <c r="C84" s="3" t="str">
        <f>IFERROR(__xludf.dummyfunction("JOIN("". "", ARRAYFORMULA(IFERROR(LEFT(SPLIT(dados_01!C84, "" ""), 1))))"),"A. l. F. l")</f>
        <v>A. l. F. l</v>
      </c>
      <c r="D84" s="3" t="str">
        <f>dados_01!D84</f>
        <v>02/09/2024</v>
      </c>
      <c r="E84" s="3" t="str">
        <f>CONCATENATE(LEFT(dados_01!E84,3),REPT("*",6),RIGHT(dados_01!E84,2))</f>
        <v>004******03</v>
      </c>
      <c r="F84" s="3" t="str">
        <f>dados_01!F84</f>
        <v>INFANTIL 1</v>
      </c>
      <c r="G84" s="3" t="str">
        <f>dados_01!G84</f>
        <v>CEMEI PROFESSORA LINDOMAR DOMINGOS DA SILVA ANJOS</v>
      </c>
      <c r="H84" s="3" t="str">
        <f>dados_01!H84</f>
        <v>REGIONAL 5</v>
      </c>
      <c r="I84" s="3">
        <f>dados_01!I84</f>
        <v>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 spans="1:26">
      <c r="A85" s="3" t="str">
        <f>dados_01!A85</f>
        <v>04/06/2026 10:58:04</v>
      </c>
      <c r="B85" s="3" t="str">
        <f>dados_01!B85</f>
        <v>26</v>
      </c>
      <c r="C85" s="3" t="str">
        <f>IFERROR(__xludf.dummyfunction("JOIN("". "", ARRAYFORMULA(IFERROR(LEFT(SPLIT(dados_01!C85, "" ""), 1))))"),"T. J. C. M. d. S")</f>
        <v>T. J. C. M. d. S</v>
      </c>
      <c r="D85" s="3" t="str">
        <f>dados_01!D85</f>
        <v>28/04/2024</v>
      </c>
      <c r="E85" s="3" t="str">
        <f>CONCATENATE(LEFT(dados_01!E85,3),REPT("*",6),RIGHT(dados_01!E85,2))</f>
        <v>002******29</v>
      </c>
      <c r="F85" s="3" t="str">
        <f>dados_01!F85</f>
        <v>INFANTIL 1</v>
      </c>
      <c r="G85" s="3" t="str">
        <f>dados_01!G85</f>
        <v>CEMEI PROFESSORA LINDOMAR DOMINGOS DA SILVA ANJOS</v>
      </c>
      <c r="H85" s="3" t="str">
        <f>dados_01!H85</f>
        <v>REGIONAL 5</v>
      </c>
      <c r="I85" s="3">
        <f>dados_01!I85</f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 spans="1:26">
      <c r="A86" s="3" t="str">
        <f>dados_01!A86</f>
        <v>10/06/2026 09:48:38</v>
      </c>
      <c r="B86" s="3" t="str">
        <f>dados_01!B86</f>
        <v>27</v>
      </c>
      <c r="C86" s="3" t="str">
        <f>IFERROR(__xludf.dummyfunction("JOIN("". "", ARRAYFORMULA(IFERROR(LEFT(SPLIT(dados_01!C86, "" ""), 1))))"),"T. G. V. D. S")</f>
        <v>T. G. V. D. S</v>
      </c>
      <c r="D86" s="3" t="str">
        <f>dados_01!D86</f>
        <v>22/01/2025</v>
      </c>
      <c r="E86" s="3" t="str">
        <f>CONCATENATE(LEFT(dados_01!E86,3),REPT("*",6),RIGHT(dados_01!E86,2))</f>
        <v>005******35</v>
      </c>
      <c r="F86" s="3" t="str">
        <f>dados_01!F86</f>
        <v>INFANTIL 1</v>
      </c>
      <c r="G86" s="3" t="str">
        <f>dados_01!G86</f>
        <v>CEMEI PROFESSORA LINDOMAR DOMINGOS DA SILVA ANJOS</v>
      </c>
      <c r="H86" s="3" t="str">
        <f>dados_01!H86</f>
        <v>REGIONAL 5</v>
      </c>
      <c r="I86" s="3">
        <f>dados_01!I86</f>
        <v>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 spans="1:26">
      <c r="A87" s="3" t="str">
        <f>dados_01!A87</f>
        <v>22/07/2026 11:43:16</v>
      </c>
      <c r="B87" s="3" t="str">
        <f>dados_01!B87</f>
        <v>28</v>
      </c>
      <c r="C87" s="3" t="str">
        <f>IFERROR(__xludf.dummyfunction("JOIN("". "", ARRAYFORMULA(IFERROR(LEFT(SPLIT(dados_01!C87, "" ""), 1))))"),"A. L. L. D. S")</f>
        <v>A. L. L. D. S</v>
      </c>
      <c r="D87" s="3" t="str">
        <f>dados_01!D87</f>
        <v>24/10/2024</v>
      </c>
      <c r="E87" s="3" t="str">
        <f>CONCATENATE(LEFT(dados_01!E87,3),REPT("*",6),RIGHT(dados_01!E87,2))</f>
        <v>004******63</v>
      </c>
      <c r="F87" s="3" t="str">
        <f>dados_01!F87</f>
        <v>INFANTIL 1</v>
      </c>
      <c r="G87" s="3" t="str">
        <f>dados_01!G87</f>
        <v>CEMEI PROFESSORA LINDOMAR DOMINGOS DA SILVA ANJOS</v>
      </c>
      <c r="H87" s="3" t="str">
        <f>dados_01!H87</f>
        <v>REGIONAL 5</v>
      </c>
      <c r="I87" s="3">
        <f>dados_01!I87</f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 spans="1:26">
      <c r="A88" s="3" t="str">
        <f>dados_01!A88</f>
        <v>23/07/2026 14:13:37</v>
      </c>
      <c r="B88" s="3" t="str">
        <f>dados_01!B88</f>
        <v>29</v>
      </c>
      <c r="C88" s="3" t="str">
        <f>IFERROR(__xludf.dummyfunction("JOIN("". "", ARRAYFORMULA(IFERROR(LEFT(SPLIT(dados_01!C88, "" ""), 1))))"),"O. B. L. N")</f>
        <v>O. B. L. N</v>
      </c>
      <c r="D88" s="3" t="str">
        <f>dados_01!D88</f>
        <v>10/10/2025</v>
      </c>
      <c r="E88" s="3" t="str">
        <f>CONCATENATE(LEFT(dados_01!E88,3),REPT("*",6),RIGHT(dados_01!E88,2))</f>
        <v>015******68</v>
      </c>
      <c r="F88" s="3" t="str">
        <f>dados_01!F88</f>
        <v>INFANTIL 1</v>
      </c>
      <c r="G88" s="3" t="str">
        <f>dados_01!G88</f>
        <v>CEMEI PROFESSORA LINDOMAR DOMINGOS DA SILVA ANJOS</v>
      </c>
      <c r="H88" s="3" t="str">
        <f>dados_01!H88</f>
        <v>REGIONAL 5</v>
      </c>
      <c r="I88" s="3">
        <f>dados_01!I88</f>
        <v>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 spans="1:26">
      <c r="A89" s="3" t="str">
        <f>dados_01!A89</f>
        <v>07/08/2026 11:03:06</v>
      </c>
      <c r="B89" s="3" t="str">
        <f>dados_01!B89</f>
        <v>30</v>
      </c>
      <c r="C89" s="3" t="str">
        <f>IFERROR(__xludf.dummyfunction("JOIN("". "", ARRAYFORMULA(IFERROR(LEFT(SPLIT(dados_01!C89, "" ""), 1))))"),"A. M. L")</f>
        <v>A. M. L</v>
      </c>
      <c r="D89" s="3" t="str">
        <f>dados_01!D89</f>
        <v>10/09/2025</v>
      </c>
      <c r="E89" s="3" t="str">
        <f>CONCATENATE(LEFT(dados_01!E89,3),REPT("*",6),RIGHT(dados_01!E89,2))</f>
        <v>007******10</v>
      </c>
      <c r="F89" s="3" t="str">
        <f>dados_01!F89</f>
        <v>INFANTIL 1</v>
      </c>
      <c r="G89" s="3" t="str">
        <f>dados_01!G89</f>
        <v>CEMEI PROFESSORA LINDOMAR DOMINGOS DA SILVA ANJOS</v>
      </c>
      <c r="H89" s="3" t="str">
        <f>dados_01!H89</f>
        <v>REGIONAL 5</v>
      </c>
      <c r="I89" s="3">
        <f>dados_01!I89</f>
        <v>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 spans="1:26">
      <c r="A90" s="3" t="str">
        <f>dados_01!A90</f>
        <v>26/08/2026 12:19:22</v>
      </c>
      <c r="B90" s="3" t="str">
        <f>dados_01!B90</f>
        <v>31</v>
      </c>
      <c r="C90" s="3" t="str">
        <f>IFERROR(__xludf.dummyfunction("JOIN("". "", ARRAYFORMULA(IFERROR(LEFT(SPLIT(dados_01!C90, "" ""), 1))))"),"K. M. C. d. S")</f>
        <v>K. M. C. d. S</v>
      </c>
      <c r="D90" s="3" t="str">
        <f>dados_01!D90</f>
        <v>24/02/2025</v>
      </c>
      <c r="E90" s="3" t="str">
        <f>CONCATENATE(LEFT(dados_01!E90,3),REPT("*",6),RIGHT(dados_01!E90,2))</f>
        <v>071******50</v>
      </c>
      <c r="F90" s="3" t="str">
        <f>dados_01!F90</f>
        <v>INFANTIL 1</v>
      </c>
      <c r="G90" s="3" t="str">
        <f>dados_01!G90</f>
        <v>CEMEI PROFESSORA LINDOMAR DOMINGOS DA SILVA ANJOS</v>
      </c>
      <c r="H90" s="3" t="str">
        <f>dados_01!H90</f>
        <v>REGIONAL 5</v>
      </c>
      <c r="I90" s="3">
        <f>dados_01!I90</f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 spans="1:26">
      <c r="A91" s="3" t="str">
        <f>dados_01!A91</f>
        <v>17/09/2026 11:58:57</v>
      </c>
      <c r="B91" s="3" t="str">
        <f>dados_01!B91</f>
        <v>32</v>
      </c>
      <c r="C91" s="3" t="str">
        <f>IFERROR(__xludf.dummyfunction("JOIN("". "", ARRAYFORMULA(IFERROR(LEFT(SPLIT(dados_01!C91, "" ""), 1))))"),"L. W. d. s")</f>
        <v>L. W. d. s</v>
      </c>
      <c r="D91" s="3" t="str">
        <f>dados_01!D91</f>
        <v>14/12/2024</v>
      </c>
      <c r="E91" s="3" t="str">
        <f>CONCATENATE(LEFT(dados_01!E91,3),REPT("*",6),RIGHT(dados_01!E91,2))</f>
        <v>004******78</v>
      </c>
      <c r="F91" s="3" t="str">
        <f>dados_01!F91</f>
        <v>INFANTIL 1</v>
      </c>
      <c r="G91" s="3" t="str">
        <f>dados_01!G91</f>
        <v>CEMEI PROFESSORA LINDOMAR DOMINGOS DA SILVA ANJOS</v>
      </c>
      <c r="H91" s="3" t="str">
        <f>dados_01!H91</f>
        <v>REGIONAL 5</v>
      </c>
      <c r="I91" s="3">
        <f>dados_01!I91</f>
        <v>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 spans="1:26">
      <c r="A92" s="3" t="str">
        <f>dados_01!A92</f>
        <v>23/09/2026 11:12:15</v>
      </c>
      <c r="B92" s="3" t="str">
        <f>dados_01!B92</f>
        <v>33</v>
      </c>
      <c r="C92" s="3" t="str">
        <f>IFERROR(__xludf.dummyfunction("JOIN("". "", ARRAYFORMULA(IFERROR(LEFT(SPLIT(dados_01!C92, "" ""), 1))))"),"G. d. O. C")</f>
        <v>G. d. O. C</v>
      </c>
      <c r="D92" s="3" t="str">
        <f>dados_01!D92</f>
        <v>03/04/2024</v>
      </c>
      <c r="E92" s="3" t="str">
        <f>CONCATENATE(LEFT(dados_01!E92,3),REPT("*",6),RIGHT(dados_01!E92,2))</f>
        <v>007******96</v>
      </c>
      <c r="F92" s="3" t="str">
        <f>dados_01!F92</f>
        <v>INFANTIL 1</v>
      </c>
      <c r="G92" s="3" t="str">
        <f>dados_01!G92</f>
        <v>CEMEI PROFESSORA LINDOMAR DOMINGOS DA SILVA ANJOS</v>
      </c>
      <c r="H92" s="3" t="str">
        <f>dados_01!H92</f>
        <v>REGIONAL 5</v>
      </c>
      <c r="I92" s="3">
        <f>dados_01!I92</f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 spans="1:26">
      <c r="A93" s="3" t="str">
        <f>dados_01!A93</f>
        <v>28/01/2026 08:06:54</v>
      </c>
      <c r="B93" s="3" t="str">
        <f>dados_01!B93</f>
        <v>1</v>
      </c>
      <c r="C93" s="3" t="str">
        <f>IFERROR(__xludf.dummyfunction("JOIN("". "", ARRAYFORMULA(IFERROR(LEFT(SPLIT(dados_01!C93, "" ""), 1))))"),"A. M. F. L")</f>
        <v>A. M. F. L</v>
      </c>
      <c r="D93" s="3" t="str">
        <f>dados_01!D93</f>
        <v>06/04/2023</v>
      </c>
      <c r="E93" s="3" t="str">
        <f>CONCATENATE(LEFT(dados_01!E93,3),REPT("*",6),RIGHT(dados_01!E93,2))</f>
        <v>185******07</v>
      </c>
      <c r="F93" s="3" t="str">
        <f>dados_01!F93</f>
        <v>INFANTIL 2</v>
      </c>
      <c r="G93" s="3" t="str">
        <f>dados_01!G93</f>
        <v>CEMEI PROFESSORA LINDOMAR DOMINGOS DA SILVA ANJOS</v>
      </c>
      <c r="H93" s="3" t="str">
        <f>dados_01!H93</f>
        <v>REGIONAL 5</v>
      </c>
      <c r="I93" s="3">
        <f>dados_01!I93</f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 spans="1:26">
      <c r="A94" s="3" t="str">
        <f>dados_01!A94</f>
        <v>28/01/2026 08:08:24</v>
      </c>
      <c r="B94" s="3" t="str">
        <f>dados_01!B94</f>
        <v>2</v>
      </c>
      <c r="C94" s="3" t="str">
        <f>IFERROR(__xludf.dummyfunction("JOIN("". "", ARRAYFORMULA(IFERROR(LEFT(SPLIT(dados_01!C94, "" ""), 1))))"),"M. O. F. C")</f>
        <v>M. O. F. C</v>
      </c>
      <c r="D94" s="3" t="str">
        <f>dados_01!D94</f>
        <v>23/07/2023</v>
      </c>
      <c r="E94" s="3" t="str">
        <f>CONCATENATE(LEFT(dados_01!E94,3),REPT("*",6),RIGHT(dados_01!E94,2))</f>
        <v>186******04</v>
      </c>
      <c r="F94" s="3" t="str">
        <f>dados_01!F94</f>
        <v>INFANTIL 2</v>
      </c>
      <c r="G94" s="3" t="str">
        <f>dados_01!G94</f>
        <v>CEMEI PROFESSORA LINDOMAR DOMINGOS DA SILVA ANJOS</v>
      </c>
      <c r="H94" s="3" t="str">
        <f>dados_01!H94</f>
        <v>REGIONAL 5</v>
      </c>
      <c r="I94" s="3">
        <f>dados_01!I94</f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 spans="1:26">
      <c r="A95" s="3" t="str">
        <f>dados_01!A95</f>
        <v>28/01/2026 08:14:44</v>
      </c>
      <c r="B95" s="3" t="str">
        <f>dados_01!B95</f>
        <v>3</v>
      </c>
      <c r="C95" s="3" t="str">
        <f>IFERROR(__xludf.dummyfunction("JOIN("". "", ARRAYFORMULA(IFERROR(LEFT(SPLIT(dados_01!C95, "" ""), 1))))"),"S. B. C. R. D. S")</f>
        <v>S. B. C. R. D. S</v>
      </c>
      <c r="D95" s="3" t="str">
        <f>dados_01!D95</f>
        <v>07/06/2023</v>
      </c>
      <c r="E95" s="3" t="str">
        <f>CONCATENATE(LEFT(dados_01!E95,3),REPT("*",6),RIGHT(dados_01!E95,2))</f>
        <v>185******06</v>
      </c>
      <c r="F95" s="3" t="str">
        <f>dados_01!F95</f>
        <v>INFANTIL 2</v>
      </c>
      <c r="G95" s="3" t="str">
        <f>dados_01!G95</f>
        <v>CEMEI PROFESSORA LINDOMAR DOMINGOS DA SILVA ANJOS</v>
      </c>
      <c r="H95" s="3" t="str">
        <f>dados_01!H95</f>
        <v>REGIONAL 5</v>
      </c>
      <c r="I95" s="3">
        <f>dados_01!I95</f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 spans="1:26">
      <c r="A96" s="3" t="str">
        <f>dados_01!A96</f>
        <v>28/01/2026 08:17:19</v>
      </c>
      <c r="B96" s="3" t="str">
        <f>dados_01!B96</f>
        <v>4</v>
      </c>
      <c r="C96" s="3" t="str">
        <f>IFERROR(__xludf.dummyfunction("JOIN("". "", ARRAYFORMULA(IFERROR(LEFT(SPLIT(dados_01!C96, "" ""), 1))))"),"L. M. T. S")</f>
        <v>L. M. T. S</v>
      </c>
      <c r="D96" s="3" t="str">
        <f>dados_01!D96</f>
        <v>18/02/2024</v>
      </c>
      <c r="E96" s="3" t="str">
        <f>CONCATENATE(LEFT(dados_01!E96,3),REPT("*",6),RIGHT(dados_01!E96,2))</f>
        <v>002******11</v>
      </c>
      <c r="F96" s="3" t="str">
        <f>dados_01!F96</f>
        <v>INFANTIL 2</v>
      </c>
      <c r="G96" s="3" t="str">
        <f>dados_01!G96</f>
        <v>CEMEI PROFESSORA LINDOMAR DOMINGOS DA SILVA ANJOS</v>
      </c>
      <c r="H96" s="3" t="str">
        <f>dados_01!H96</f>
        <v>REGIONAL 5</v>
      </c>
      <c r="I96" s="3">
        <f>dados_01!I96</f>
        <v>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 spans="1:26">
      <c r="A97" s="3" t="str">
        <f>dados_01!A97</f>
        <v>28/01/2026 08:25:56</v>
      </c>
      <c r="B97" s="3" t="str">
        <f>dados_01!B97</f>
        <v>5</v>
      </c>
      <c r="C97" s="3" t="str">
        <f>IFERROR(__xludf.dummyfunction("JOIN("". "", ARRAYFORMULA(IFERROR(LEFT(SPLIT(dados_01!C97, "" ""), 1))))"),"M. G. D. S. P. A")</f>
        <v>M. G. D. S. P. A</v>
      </c>
      <c r="D97" s="3" t="str">
        <f>dados_01!D97</f>
        <v>15/05/2023</v>
      </c>
      <c r="E97" s="3" t="str">
        <f>CONCATENATE(LEFT(dados_01!E97,3),REPT("*",6),RIGHT(dados_01!E97,2))</f>
        <v>185******33</v>
      </c>
      <c r="F97" s="3" t="str">
        <f>dados_01!F97</f>
        <v>INFANTIL 2</v>
      </c>
      <c r="G97" s="3" t="str">
        <f>dados_01!G97</f>
        <v>CEMEI PROFESSORA LINDOMAR DOMINGOS DA SILVA ANJOS</v>
      </c>
      <c r="H97" s="3" t="str">
        <f>dados_01!H97</f>
        <v>REGIONAL 5</v>
      </c>
      <c r="I97" s="3">
        <f>dados_01!I97</f>
        <v>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 spans="1:26">
      <c r="A98" s="3" t="str">
        <f>dados_01!A98</f>
        <v>28/01/2026 08:25:59</v>
      </c>
      <c r="B98" s="3" t="str">
        <f>dados_01!B98</f>
        <v>6</v>
      </c>
      <c r="C98" s="3" t="str">
        <f>IFERROR(__xludf.dummyfunction("JOIN("". "", ARRAYFORMULA(IFERROR(LEFT(SPLIT(dados_01!C98, "" ""), 1))))"),"E. B. S")</f>
        <v>E. B. S</v>
      </c>
      <c r="D98" s="3" t="str">
        <f>dados_01!D98</f>
        <v>12/12/2023</v>
      </c>
      <c r="E98" s="3" t="str">
        <f>CONCATENATE(LEFT(dados_01!E98,3),REPT("*",6),RIGHT(dados_01!E98,2))</f>
        <v>002******25</v>
      </c>
      <c r="F98" s="3" t="str">
        <f>dados_01!F98</f>
        <v>INFANTIL 2</v>
      </c>
      <c r="G98" s="3" t="str">
        <f>dados_01!G98</f>
        <v>CEMEI PROFESSORA LINDOMAR DOMINGOS DA SILVA ANJOS</v>
      </c>
      <c r="H98" s="3" t="str">
        <f>dados_01!H98</f>
        <v>REGIONAL 5</v>
      </c>
      <c r="I98" s="3">
        <f>dados_01!I98</f>
        <v>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 spans="1:26">
      <c r="A99" s="3" t="str">
        <f>dados_01!A99</f>
        <v>28/01/2026 08:31:41</v>
      </c>
      <c r="B99" s="3" t="str">
        <f>dados_01!B99</f>
        <v>7</v>
      </c>
      <c r="C99" s="3" t="str">
        <f>IFERROR(__xludf.dummyfunction("JOIN("". "", ARRAYFORMULA(IFERROR(LEFT(SPLIT(dados_01!C99, "" ""), 1))))"),"L. M. S. L")</f>
        <v>L. M. S. L</v>
      </c>
      <c r="D99" s="3" t="str">
        <f>dados_01!D99</f>
        <v>25/01/2024</v>
      </c>
      <c r="E99" s="3" t="str">
        <f>CONCATENATE(LEFT(dados_01!E99,3),REPT("*",6),RIGHT(dados_01!E99,2))</f>
        <v>001******03</v>
      </c>
      <c r="F99" s="3" t="str">
        <f>dados_01!F99</f>
        <v>INFANTIL 2</v>
      </c>
      <c r="G99" s="3" t="str">
        <f>dados_01!G99</f>
        <v>CEMEI PROFESSORA LINDOMAR DOMINGOS DA SILVA ANJOS</v>
      </c>
      <c r="H99" s="3" t="str">
        <f>dados_01!H99</f>
        <v>REGIONAL 5</v>
      </c>
      <c r="I99" s="3">
        <f>dados_01!I99</f>
        <v>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 spans="1:26">
      <c r="A100" s="3" t="str">
        <f>dados_01!A100</f>
        <v>28/01/2026 09:00:15</v>
      </c>
      <c r="B100" s="3" t="str">
        <f>dados_01!B100</f>
        <v>8</v>
      </c>
      <c r="C100" s="3" t="str">
        <f>IFERROR(__xludf.dummyfunction("JOIN("". "", ARRAYFORMULA(IFERROR(LEFT(SPLIT(dados_01!C100, "" ""), 1))))"),"H. M. C. D. L")</f>
        <v>H. M. C. D. L</v>
      </c>
      <c r="D100" s="3" t="str">
        <f>dados_01!D100</f>
        <v>21/12/2023</v>
      </c>
      <c r="E100" s="3" t="str">
        <f>CONCATENATE(LEFT(dados_01!E100,3),REPT("*",6),RIGHT(dados_01!E100,2))</f>
        <v>001******90</v>
      </c>
      <c r="F100" s="3" t="str">
        <f>dados_01!F100</f>
        <v>INFANTIL 2</v>
      </c>
      <c r="G100" s="3" t="str">
        <f>dados_01!G100</f>
        <v>CEMEI PROFESSORA LINDOMAR DOMINGOS DA SILVA ANJOS</v>
      </c>
      <c r="H100" s="3" t="str">
        <f>dados_01!H100</f>
        <v>REGIONAL 5</v>
      </c>
      <c r="I100" s="3">
        <f>dados_01!I100</f>
        <v>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 spans="1:26">
      <c r="A101" s="3" t="str">
        <f>dados_01!A101</f>
        <v>28/01/2026 09:08:41</v>
      </c>
      <c r="B101" s="3" t="str">
        <f>dados_01!B101</f>
        <v>9</v>
      </c>
      <c r="C101" s="3" t="str">
        <f>IFERROR(__xludf.dummyfunction("JOIN("". "", ARRAYFORMULA(IFERROR(LEFT(SPLIT(dados_01!C101, "" ""), 1))))"),"T. V. D. S. F")</f>
        <v>T. V. D. S. F</v>
      </c>
      <c r="D101" s="3" t="str">
        <f>dados_01!D101</f>
        <v>04/08/2023</v>
      </c>
      <c r="E101" s="3" t="str">
        <f>CONCATENATE(LEFT(dados_01!E101,3),REPT("*",6),RIGHT(dados_01!E101,2))</f>
        <v>186******21</v>
      </c>
      <c r="F101" s="3" t="str">
        <f>dados_01!F101</f>
        <v>INFANTIL 2</v>
      </c>
      <c r="G101" s="3" t="str">
        <f>dados_01!G101</f>
        <v>CEMEI PROFESSORA LINDOMAR DOMINGOS DA SILVA ANJOS</v>
      </c>
      <c r="H101" s="3" t="str">
        <f>dados_01!H101</f>
        <v>REGIONAL 5</v>
      </c>
      <c r="I101" s="3">
        <f>dados_01!I101</f>
        <v>0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 spans="1:26">
      <c r="A102" s="3" t="str">
        <f>dados_01!A102</f>
        <v>28/01/2026 09:29:37</v>
      </c>
      <c r="B102" s="3" t="str">
        <f>dados_01!B102</f>
        <v>10</v>
      </c>
      <c r="C102" s="3" t="str">
        <f>IFERROR(__xludf.dummyfunction("JOIN("". "", ARRAYFORMULA(IFERROR(LEFT(SPLIT(dados_01!C102, "" ""), 1))))"),"M. F. D. S")</f>
        <v>M. F. D. S</v>
      </c>
      <c r="D102" s="3" t="str">
        <f>dados_01!D102</f>
        <v>30/12/2023</v>
      </c>
      <c r="E102" s="3" t="str">
        <f>CONCATENATE(LEFT(dados_01!E102,3),REPT("*",6),RIGHT(dados_01!E102,2))</f>
        <v>001******28</v>
      </c>
      <c r="F102" s="3" t="str">
        <f>dados_01!F102</f>
        <v>INFANTIL 2</v>
      </c>
      <c r="G102" s="3" t="str">
        <f>dados_01!G102</f>
        <v>CEMEI PROFESSORA LINDOMAR DOMINGOS DA SILVA ANJOS</v>
      </c>
      <c r="H102" s="3" t="str">
        <f>dados_01!H102</f>
        <v>REGIONAL 5</v>
      </c>
      <c r="I102" s="3">
        <f>dados_01!I102</f>
        <v>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 spans="1:26">
      <c r="A103" s="3" t="str">
        <f>dados_01!A103</f>
        <v>28/01/2026 10:56:41</v>
      </c>
      <c r="B103" s="3" t="str">
        <f>dados_01!B103</f>
        <v>11</v>
      </c>
      <c r="C103" s="3" t="str">
        <f>IFERROR(__xludf.dummyfunction("JOIN("". "", ARRAYFORMULA(IFERROR(LEFT(SPLIT(dados_01!C103, "" ""), 1))))"),"Y. S. R")</f>
        <v>Y. S. R</v>
      </c>
      <c r="D103" s="3" t="str">
        <f>dados_01!D103</f>
        <v>11/10/2023</v>
      </c>
      <c r="E103" s="3" t="str">
        <f>CONCATENATE(LEFT(dados_01!E103,3),REPT("*",6),RIGHT(dados_01!E103,2))</f>
        <v>000******55</v>
      </c>
      <c r="F103" s="3" t="str">
        <f>dados_01!F103</f>
        <v>INFANTIL 2</v>
      </c>
      <c r="G103" s="3" t="str">
        <f>dados_01!G103</f>
        <v>CEMEI PROFESSORA LINDOMAR DOMINGOS DA SILVA ANJOS</v>
      </c>
      <c r="H103" s="3" t="str">
        <f>dados_01!H103</f>
        <v>REGIONAL 5</v>
      </c>
      <c r="I103" s="3">
        <f>dados_01!I103</f>
        <v>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 spans="1:26">
      <c r="A104" s="3" t="str">
        <f>dados_01!A104</f>
        <v>28/01/2026 11:08:50</v>
      </c>
      <c r="B104" s="3" t="str">
        <f>dados_01!B104</f>
        <v>12</v>
      </c>
      <c r="C104" s="3" t="str">
        <f>IFERROR(__xludf.dummyfunction("JOIN("". "", ARRAYFORMULA(IFERROR(LEFT(SPLIT(dados_01!C104, "" ""), 1))))"),"A. V")</f>
        <v>A. V</v>
      </c>
      <c r="D104" s="3" t="str">
        <f>dados_01!D104</f>
        <v>28/07/2023</v>
      </c>
      <c r="E104" s="3" t="str">
        <f>CONCATENATE(LEFT(dados_01!E104,3),REPT("*",6),RIGHT(dados_01!E104,2))</f>
        <v>157******62</v>
      </c>
      <c r="F104" s="3" t="str">
        <f>dados_01!F104</f>
        <v>INFANTIL 2</v>
      </c>
      <c r="G104" s="3" t="str">
        <f>dados_01!G104</f>
        <v>CEMEI PROFESSORA LINDOMAR DOMINGOS DA SILVA ANJOS</v>
      </c>
      <c r="H104" s="3" t="str">
        <f>dados_01!H104</f>
        <v>REGIONAL 5</v>
      </c>
      <c r="I104" s="3">
        <f>dados_01!I104</f>
        <v>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 spans="1:26">
      <c r="A105" s="3" t="str">
        <f>dados_01!A105</f>
        <v>28/01/2026 12:27:56</v>
      </c>
      <c r="B105" s="3" t="str">
        <f>dados_01!B105</f>
        <v>13</v>
      </c>
      <c r="C105" s="3" t="str">
        <f>IFERROR(__xludf.dummyfunction("JOIN("". "", ARRAYFORMULA(IFERROR(LEFT(SPLIT(dados_01!C105, "" ""), 1))))"),"M. M. D. S. C")</f>
        <v>M. M. D. S. C</v>
      </c>
      <c r="D105" s="3" t="str">
        <f>dados_01!D105</f>
        <v>10/06/2023</v>
      </c>
      <c r="E105" s="3" t="str">
        <f>CONCATENATE(LEFT(dados_01!E105,3),REPT("*",6),RIGHT(dados_01!E105,2))</f>
        <v>185******70</v>
      </c>
      <c r="F105" s="3" t="str">
        <f>dados_01!F105</f>
        <v>INFANTIL 2</v>
      </c>
      <c r="G105" s="3" t="str">
        <f>dados_01!G105</f>
        <v>CEMEI PROFESSORA LINDOMAR DOMINGOS DA SILVA ANJOS</v>
      </c>
      <c r="H105" s="3" t="str">
        <f>dados_01!H105</f>
        <v>REGIONAL 5</v>
      </c>
      <c r="I105" s="3">
        <f>dados_01!I105</f>
        <v>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 spans="1:26">
      <c r="A106" s="3" t="str">
        <f>dados_01!A106</f>
        <v>29/01/2026 09:34:00</v>
      </c>
      <c r="B106" s="3" t="str">
        <f>dados_01!B106</f>
        <v>14</v>
      </c>
      <c r="C106" s="3" t="str">
        <f>IFERROR(__xludf.dummyfunction("JOIN("". "", ARRAYFORMULA(IFERROR(LEFT(SPLIT(dados_01!C106, "" ""), 1))))"),"L. S. O. D. A")</f>
        <v>L. S. O. D. A</v>
      </c>
      <c r="D106" s="3" t="str">
        <f>dados_01!D106</f>
        <v>13/12/2023</v>
      </c>
      <c r="E106" s="3" t="str">
        <f>CONCATENATE(LEFT(dados_01!E106,3),REPT("*",6),RIGHT(dados_01!E106,2))</f>
        <v>002******11</v>
      </c>
      <c r="F106" s="3" t="str">
        <f>dados_01!F106</f>
        <v>INFANTIL 2</v>
      </c>
      <c r="G106" s="3" t="str">
        <f>dados_01!G106</f>
        <v>CEMEI PROFESSORA LINDOMAR DOMINGOS DA SILVA ANJOS</v>
      </c>
      <c r="H106" s="3" t="str">
        <f>dados_01!H106</f>
        <v>REGIONAL 5</v>
      </c>
      <c r="I106" s="3">
        <f>dados_01!I106</f>
        <v>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 spans="1:26">
      <c r="A107" s="3" t="str">
        <f>dados_01!A107</f>
        <v>29/01/2026 19:07:33</v>
      </c>
      <c r="B107" s="3" t="str">
        <f>dados_01!B107</f>
        <v>15</v>
      </c>
      <c r="C107" s="3" t="str">
        <f>IFERROR(__xludf.dummyfunction("JOIN("". "", ARRAYFORMULA(IFERROR(LEFT(SPLIT(dados_01!C107, "" ""), 1))))"),"J. P. A. D. S")</f>
        <v>J. P. A. D. S</v>
      </c>
      <c r="D107" s="3" t="str">
        <f>dados_01!D107</f>
        <v>13/05/2023</v>
      </c>
      <c r="E107" s="3" t="str">
        <f>CONCATENATE(LEFT(dados_01!E107,3),REPT("*",6),RIGHT(dados_01!E107,2))</f>
        <v>185******08</v>
      </c>
      <c r="F107" s="3" t="str">
        <f>dados_01!F107</f>
        <v>INFANTIL 2</v>
      </c>
      <c r="G107" s="3" t="str">
        <f>dados_01!G107</f>
        <v>CEMEI PROFESSORA LINDOMAR DOMINGOS DA SILVA ANJOS</v>
      </c>
      <c r="H107" s="3" t="str">
        <f>dados_01!H107</f>
        <v>REGIONAL 5</v>
      </c>
      <c r="I107" s="3">
        <f>dados_01!I107</f>
        <v>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 spans="1:26">
      <c r="A108" s="3" t="str">
        <f>dados_01!A108</f>
        <v>03/02/2026 12:10:55</v>
      </c>
      <c r="B108" s="3" t="str">
        <f>dados_01!B108</f>
        <v>16</v>
      </c>
      <c r="C108" s="3" t="str">
        <f>IFERROR(__xludf.dummyfunction("JOIN("". "", ARRAYFORMULA(IFERROR(LEFT(SPLIT(dados_01!C108, "" ""), 1))))"),"E. B. M. F. N")</f>
        <v>E. B. M. F. N</v>
      </c>
      <c r="D108" s="3" t="str">
        <f>dados_01!D108</f>
        <v>11/11/2023</v>
      </c>
      <c r="E108" s="3" t="str">
        <f>CONCATENATE(LEFT(dados_01!E108,3),REPT("*",6),RIGHT(dados_01!E108,2))</f>
        <v>001******70</v>
      </c>
      <c r="F108" s="3" t="str">
        <f>dados_01!F108</f>
        <v>INFANTIL 2</v>
      </c>
      <c r="G108" s="3" t="str">
        <f>dados_01!G108</f>
        <v>CEMEI PROFESSORA LINDOMAR DOMINGOS DA SILVA ANJOS</v>
      </c>
      <c r="H108" s="3" t="str">
        <f>dados_01!H108</f>
        <v>REGIONAL 5</v>
      </c>
      <c r="I108" s="3">
        <f>dados_01!I108</f>
        <v>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 spans="1:26">
      <c r="A109" s="3" t="str">
        <f>dados_01!A109</f>
        <v>03/02/2026 19:19:03</v>
      </c>
      <c r="B109" s="3" t="str">
        <f>dados_01!B109</f>
        <v>17</v>
      </c>
      <c r="C109" s="3" t="str">
        <f>IFERROR(__xludf.dummyfunction("JOIN("". "", ARRAYFORMULA(IFERROR(LEFT(SPLIT(dados_01!C109, "" ""), 1))))"),"A. E. V. D. S")</f>
        <v>A. E. V. D. S</v>
      </c>
      <c r="D109" s="3" t="str">
        <f>dados_01!D109</f>
        <v>22/06/2023</v>
      </c>
      <c r="E109" s="3" t="str">
        <f>CONCATENATE(LEFT(dados_01!E109,3),REPT("*",6),RIGHT(dados_01!E109,2))</f>
        <v>185******00</v>
      </c>
      <c r="F109" s="3" t="str">
        <f>dados_01!F109</f>
        <v>INFANTIL 2</v>
      </c>
      <c r="G109" s="3" t="str">
        <f>dados_01!G109</f>
        <v>CEMEI PROFESSORA LINDOMAR DOMINGOS DA SILVA ANJOS</v>
      </c>
      <c r="H109" s="3" t="str">
        <f>dados_01!H109</f>
        <v>REGIONAL 5</v>
      </c>
      <c r="I109" s="3">
        <f>dados_01!I109</f>
        <v>0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 spans="1:26">
      <c r="A110" s="3" t="str">
        <f>dados_01!A110</f>
        <v>04/02/2026 09:54:58</v>
      </c>
      <c r="B110" s="3" t="str">
        <f>dados_01!B110</f>
        <v>18</v>
      </c>
      <c r="C110" s="3" t="str">
        <f>IFERROR(__xludf.dummyfunction("JOIN("". "", ARRAYFORMULA(IFERROR(LEFT(SPLIT(dados_01!C110, "" ""), 1))))"),"A. M. M. D. L")</f>
        <v>A. M. M. D. L</v>
      </c>
      <c r="D110" s="3" t="str">
        <f>dados_01!D110</f>
        <v>11/07/2023</v>
      </c>
      <c r="E110" s="3" t="str">
        <f>CONCATENATE(LEFT(dados_01!E110,3),REPT("*",6),RIGHT(dados_01!E110,2))</f>
        <v>186******75</v>
      </c>
      <c r="F110" s="3" t="str">
        <f>dados_01!F110</f>
        <v>INFANTIL 2</v>
      </c>
      <c r="G110" s="3" t="str">
        <f>dados_01!G110</f>
        <v>CEMEI PROFESSORA LINDOMAR DOMINGOS DA SILVA ANJOS</v>
      </c>
      <c r="H110" s="3" t="str">
        <f>dados_01!H110</f>
        <v>REGIONAL 5</v>
      </c>
      <c r="I110" s="3">
        <f>dados_01!I110</f>
        <v>0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 spans="1:26">
      <c r="A111" s="3" t="str">
        <f>dados_01!A111</f>
        <v>04/02/2026 12:41:36</v>
      </c>
      <c r="B111" s="3" t="str">
        <f>dados_01!B111</f>
        <v>19</v>
      </c>
      <c r="C111" s="3" t="str">
        <f>IFERROR(__xludf.dummyfunction("JOIN("". "", ARRAYFORMULA(IFERROR(LEFT(SPLIT(dados_01!C111, "" ""), 1))))"),"I. R. D. S")</f>
        <v>I. R. D. S</v>
      </c>
      <c r="D111" s="3" t="str">
        <f>dados_01!D111</f>
        <v>17/04/2023</v>
      </c>
      <c r="E111" s="3" t="str">
        <f>CONCATENATE(LEFT(dados_01!E111,3),REPT("*",6),RIGHT(dados_01!E111,2))</f>
        <v>185******67</v>
      </c>
      <c r="F111" s="3" t="str">
        <f>dados_01!F111</f>
        <v>INFANTIL 2</v>
      </c>
      <c r="G111" s="3" t="str">
        <f>dados_01!G111</f>
        <v>CEMEI PROFESSORA LINDOMAR DOMINGOS DA SILVA ANJOS</v>
      </c>
      <c r="H111" s="3" t="str">
        <f>dados_01!H111</f>
        <v>REGIONAL 5</v>
      </c>
      <c r="I111" s="3">
        <f>dados_01!I111</f>
        <v>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 spans="1:26">
      <c r="A112" s="3" t="str">
        <f>dados_01!A112</f>
        <v>04/02/2026 15:23:58</v>
      </c>
      <c r="B112" s="3" t="str">
        <f>dados_01!B112</f>
        <v>20</v>
      </c>
      <c r="C112" s="3" t="str">
        <f>IFERROR(__xludf.dummyfunction("JOIN("". "", ARRAYFORMULA(IFERROR(LEFT(SPLIT(dados_01!C112, "" ""), 1))))"),"C. R. L. D. S")</f>
        <v>C. R. L. D. S</v>
      </c>
      <c r="D112" s="3" t="str">
        <f>dados_01!D112</f>
        <v>05/06/2023</v>
      </c>
      <c r="E112" s="3" t="str">
        <f>CONCATENATE(LEFT(dados_01!E112,3),REPT("*",6),RIGHT(dados_01!E112,2))</f>
        <v>185******37</v>
      </c>
      <c r="F112" s="3" t="str">
        <f>dados_01!F112</f>
        <v>INFANTIL 2</v>
      </c>
      <c r="G112" s="3" t="str">
        <f>dados_01!G112</f>
        <v>CEMEI PROFESSORA LINDOMAR DOMINGOS DA SILVA ANJOS</v>
      </c>
      <c r="H112" s="3" t="str">
        <f>dados_01!H112</f>
        <v>REGIONAL 5</v>
      </c>
      <c r="I112" s="3">
        <f>dados_01!I112</f>
        <v>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 spans="1:26">
      <c r="A113" s="3" t="str">
        <f>dados_01!A113</f>
        <v>05/02/2026 16:07:06</v>
      </c>
      <c r="B113" s="3" t="str">
        <f>dados_01!B113</f>
        <v>21</v>
      </c>
      <c r="C113" s="3" t="str">
        <f>IFERROR(__xludf.dummyfunction("JOIN("". "", ARRAYFORMULA(IFERROR(LEFT(SPLIT(dados_01!C113, "" ""), 1))))"),"C. R. M. A. D. A")</f>
        <v>C. R. M. A. D. A</v>
      </c>
      <c r="D113" s="3" t="str">
        <f>dados_01!D113</f>
        <v>11/08/2023</v>
      </c>
      <c r="E113" s="3" t="str">
        <f>CONCATENATE(LEFT(dados_01!E113,3),REPT("*",6),RIGHT(dados_01!E113,2))</f>
        <v>186******84</v>
      </c>
      <c r="F113" s="3" t="str">
        <f>dados_01!F113</f>
        <v>INFANTIL 2</v>
      </c>
      <c r="G113" s="3" t="str">
        <f>dados_01!G113</f>
        <v>CEMEI PROFESSORA LINDOMAR DOMINGOS DA SILVA ANJOS</v>
      </c>
      <c r="H113" s="3" t="str">
        <f>dados_01!H113</f>
        <v>REGIONAL 5</v>
      </c>
      <c r="I113" s="3">
        <f>dados_01!I113</f>
        <v>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 spans="1:26">
      <c r="A114" s="3" t="str">
        <f>dados_01!A114</f>
        <v>09/02/2026 09:40:47</v>
      </c>
      <c r="B114" s="3" t="str">
        <f>dados_01!B114</f>
        <v>22</v>
      </c>
      <c r="C114" s="3" t="str">
        <f>IFERROR(__xludf.dummyfunction("JOIN("". "", ARRAYFORMULA(IFERROR(LEFT(SPLIT(dados_01!C114, "" ""), 1))))"),"M. C. D. S")</f>
        <v>M. C. D. S</v>
      </c>
      <c r="D114" s="3" t="str">
        <f>dados_01!D114</f>
        <v>26/01/2024</v>
      </c>
      <c r="E114" s="3" t="str">
        <f>CONCATENATE(LEFT(dados_01!E114,3),REPT("*",6),RIGHT(dados_01!E114,2))</f>
        <v>001******17</v>
      </c>
      <c r="F114" s="3" t="str">
        <f>dados_01!F114</f>
        <v>INFANTIL 2</v>
      </c>
      <c r="G114" s="3" t="str">
        <f>dados_01!G114</f>
        <v>CEMEI PROFESSORA LINDOMAR DOMINGOS DA SILVA ANJOS</v>
      </c>
      <c r="H114" s="3" t="str">
        <f>dados_01!H114</f>
        <v>REGIONAL 5</v>
      </c>
      <c r="I114" s="3">
        <f>dados_01!I114</f>
        <v>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 spans="1:26">
      <c r="A115" s="3" t="str">
        <f>dados_01!A115</f>
        <v>10/02/2026 07:55:39</v>
      </c>
      <c r="B115" s="3" t="str">
        <f>dados_01!B115</f>
        <v>23</v>
      </c>
      <c r="C115" s="3" t="str">
        <f>IFERROR(__xludf.dummyfunction("JOIN("". "", ARRAYFORMULA(IFERROR(LEFT(SPLIT(dados_01!C115, "" ""), 1))))"),"M. B. G")</f>
        <v>M. B. G</v>
      </c>
      <c r="D115" s="3" t="str">
        <f>dados_01!D115</f>
        <v>07/12/2023</v>
      </c>
      <c r="E115" s="3" t="str">
        <f>CONCATENATE(LEFT(dados_01!E115,3),REPT("*",6),RIGHT(dados_01!E115,2))</f>
        <v>001******44</v>
      </c>
      <c r="F115" s="3" t="str">
        <f>dados_01!F115</f>
        <v>INFANTIL 2</v>
      </c>
      <c r="G115" s="3" t="str">
        <f>dados_01!G115</f>
        <v>CEMEI PROFESSORA LINDOMAR DOMINGOS DA SILVA ANJOS</v>
      </c>
      <c r="H115" s="3" t="str">
        <f>dados_01!H115</f>
        <v>REGIONAL 5</v>
      </c>
      <c r="I115" s="3">
        <f>dados_01!I115</f>
        <v>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 spans="1:26">
      <c r="A116" s="3" t="str">
        <f>dados_01!A116</f>
        <v>10/02/2026 08:09:08</v>
      </c>
      <c r="B116" s="3" t="str">
        <f>dados_01!B116</f>
        <v>24</v>
      </c>
      <c r="C116" s="3" t="str">
        <f>IFERROR(__xludf.dummyfunction("JOIN("". "", ARRAYFORMULA(IFERROR(LEFT(SPLIT(dados_01!C116, "" ""), 1))))"),"G. L. M. D. L")</f>
        <v>G. L. M. D. L</v>
      </c>
      <c r="D116" s="3" t="str">
        <f>dados_01!D116</f>
        <v>08/06/2023</v>
      </c>
      <c r="E116" s="3" t="str">
        <f>CONCATENATE(LEFT(dados_01!E116,3),REPT("*",6),RIGHT(dados_01!E116,2))</f>
        <v>185******83</v>
      </c>
      <c r="F116" s="3" t="str">
        <f>dados_01!F116</f>
        <v>INFANTIL 2</v>
      </c>
      <c r="G116" s="3" t="str">
        <f>dados_01!G116</f>
        <v>CEMEI PROFESSORA LINDOMAR DOMINGOS DA SILVA ANJOS</v>
      </c>
      <c r="H116" s="3" t="str">
        <f>dados_01!H116</f>
        <v>REGIONAL 5</v>
      </c>
      <c r="I116" s="3">
        <f>dados_01!I116</f>
        <v>0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 spans="1:26">
      <c r="A117" s="3" t="str">
        <f>dados_01!A117</f>
        <v>10/02/2026 11:18:19</v>
      </c>
      <c r="B117" s="3" t="str">
        <f>dados_01!B117</f>
        <v>25</v>
      </c>
      <c r="C117" s="3" t="str">
        <f>IFERROR(__xludf.dummyfunction("JOIN("". "", ARRAYFORMULA(IFERROR(LEFT(SPLIT(dados_01!C117, "" ""), 1))))"),"J. J. A. D. S")</f>
        <v>J. J. A. D. S</v>
      </c>
      <c r="D117" s="3" t="str">
        <f>dados_01!D117</f>
        <v>05/07/2023</v>
      </c>
      <c r="E117" s="3" t="str">
        <f>CONCATENATE(LEFT(dados_01!E117,3),REPT("*",6),RIGHT(dados_01!E117,2))</f>
        <v>185******70</v>
      </c>
      <c r="F117" s="3" t="str">
        <f>dados_01!F117</f>
        <v>INFANTIL 2</v>
      </c>
      <c r="G117" s="3" t="str">
        <f>dados_01!G117</f>
        <v>CEMEI PROFESSORA LINDOMAR DOMINGOS DA SILVA ANJOS</v>
      </c>
      <c r="H117" s="3" t="str">
        <f>dados_01!H117</f>
        <v>REGIONAL 5</v>
      </c>
      <c r="I117" s="3">
        <f>dados_01!I117</f>
        <v>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 spans="1:26">
      <c r="A118" s="3" t="str">
        <f>dados_01!A118</f>
        <v>11/02/2026 13:53:52</v>
      </c>
      <c r="B118" s="3" t="str">
        <f>dados_01!B118</f>
        <v>26</v>
      </c>
      <c r="C118" s="3" t="str">
        <f>IFERROR(__xludf.dummyfunction("JOIN("". "", ARRAYFORMULA(IFERROR(LEFT(SPLIT(dados_01!C118, "" ""), 1))))"),"Y. M. V. D. S. N")</f>
        <v>Y. M. V. D. S. N</v>
      </c>
      <c r="D118" s="3" t="str">
        <f>dados_01!D118</f>
        <v>10/11/2023</v>
      </c>
      <c r="E118" s="3" t="str">
        <f>CONCATENATE(LEFT(dados_01!E118,3),REPT("*",6),RIGHT(dados_01!E118,2))</f>
        <v>000******22</v>
      </c>
      <c r="F118" s="3" t="str">
        <f>dados_01!F118</f>
        <v>INFANTIL 2</v>
      </c>
      <c r="G118" s="3" t="str">
        <f>dados_01!G118</f>
        <v>CEMEI PROFESSORA LINDOMAR DOMINGOS DA SILVA ANJOS</v>
      </c>
      <c r="H118" s="3" t="str">
        <f>dados_01!H118</f>
        <v>REGIONAL 5</v>
      </c>
      <c r="I118" s="3">
        <f>dados_01!I118</f>
        <v>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 spans="1:26">
      <c r="A119" s="3" t="str">
        <f>dados_01!A119</f>
        <v>19/02/2026 09:30:52</v>
      </c>
      <c r="B119" s="3" t="str">
        <f>dados_01!B119</f>
        <v>27</v>
      </c>
      <c r="C119" s="3" t="str">
        <f>IFERROR(__xludf.dummyfunction("JOIN("". "", ARRAYFORMULA(IFERROR(LEFT(SPLIT(dados_01!C119, "" ""), 1))))"),"B. D. S. F")</f>
        <v>B. D. S. F</v>
      </c>
      <c r="D119" s="3" t="str">
        <f>dados_01!D119</f>
        <v>25/04/2023</v>
      </c>
      <c r="E119" s="3" t="str">
        <f>CONCATENATE(LEFT(dados_01!E119,3),REPT("*",6),RIGHT(dados_01!E119,2))</f>
        <v>185******70</v>
      </c>
      <c r="F119" s="3" t="str">
        <f>dados_01!F119</f>
        <v>INFANTIL 2</v>
      </c>
      <c r="G119" s="3" t="str">
        <f>dados_01!G119</f>
        <v>CEMEI PROFESSORA LINDOMAR DOMINGOS DA SILVA ANJOS</v>
      </c>
      <c r="H119" s="3" t="str">
        <f>dados_01!H119</f>
        <v>REGIONAL 5</v>
      </c>
      <c r="I119" s="3">
        <f>dados_01!I119</f>
        <v>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 spans="1:26">
      <c r="A120" s="3" t="str">
        <f>dados_01!A120</f>
        <v>03/03/2026 12:02:06</v>
      </c>
      <c r="B120" s="3" t="str">
        <f>dados_01!B120</f>
        <v>28</v>
      </c>
      <c r="C120" s="3" t="str">
        <f>IFERROR(__xludf.dummyfunction("JOIN("". "", ARRAYFORMULA(IFERROR(LEFT(SPLIT(dados_01!C120, "" ""), 1))))"),"H. B. D. S")</f>
        <v>H. B. D. S</v>
      </c>
      <c r="D120" s="3" t="str">
        <f>dados_01!D120</f>
        <v>27/06/2023</v>
      </c>
      <c r="E120" s="3" t="str">
        <f>CONCATENATE(LEFT(dados_01!E120,3),REPT("*",6),RIGHT(dados_01!E120,2))</f>
        <v>185******04</v>
      </c>
      <c r="F120" s="3" t="str">
        <f>dados_01!F120</f>
        <v>INFANTIL 2</v>
      </c>
      <c r="G120" s="3" t="str">
        <f>dados_01!G120</f>
        <v>CEMEI PROFESSORA LINDOMAR DOMINGOS DA SILVA ANJOS</v>
      </c>
      <c r="H120" s="3" t="str">
        <f>dados_01!H120</f>
        <v>REGIONAL 5</v>
      </c>
      <c r="I120" s="3">
        <f>dados_01!I120</f>
        <v>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 spans="1:26">
      <c r="A121" s="3" t="str">
        <f>dados_01!A121</f>
        <v>04/03/2026 07:55:35</v>
      </c>
      <c r="B121" s="3" t="str">
        <f>dados_01!B121</f>
        <v>29</v>
      </c>
      <c r="C121" s="3" t="str">
        <f>IFERROR(__xludf.dummyfunction("JOIN("". "", ARRAYFORMULA(IFERROR(LEFT(SPLIT(dados_01!C121, "" ""), 1))))"),"A. G. P. D. S")</f>
        <v>A. G. P. D. S</v>
      </c>
      <c r="D121" s="3" t="str">
        <f>dados_01!D121</f>
        <v>16/11/2023</v>
      </c>
      <c r="E121" s="3" t="str">
        <f>CONCATENATE(LEFT(dados_01!E121,3),REPT("*",6),RIGHT(dados_01!E121,2))</f>
        <v>001******73</v>
      </c>
      <c r="F121" s="3" t="str">
        <f>dados_01!F121</f>
        <v>INFANTIL 2</v>
      </c>
      <c r="G121" s="3" t="str">
        <f>dados_01!G121</f>
        <v>CEMEI PROFESSORA LINDOMAR DOMINGOS DA SILVA ANJOS</v>
      </c>
      <c r="H121" s="3" t="str">
        <f>dados_01!H121</f>
        <v>REGIONAL 5</v>
      </c>
      <c r="I121" s="3">
        <f>dados_01!I121</f>
        <v>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 spans="1:26">
      <c r="A122" s="3" t="str">
        <f>dados_01!A122</f>
        <v>12/03/2026 11:41:32</v>
      </c>
      <c r="B122" s="3" t="str">
        <f>dados_01!B122</f>
        <v>30</v>
      </c>
      <c r="C122" s="3" t="str">
        <f>IFERROR(__xludf.dummyfunction("JOIN("". "", ARRAYFORMULA(IFERROR(LEFT(SPLIT(dados_01!C122, "" ""), 1))))"),"A. H. S. D. S")</f>
        <v>A. H. S. D. S</v>
      </c>
      <c r="D122" s="3" t="str">
        <f>dados_01!D122</f>
        <v>21/09/2023</v>
      </c>
      <c r="E122" s="3" t="str">
        <f>CONCATENATE(LEFT(dados_01!E122,3),REPT("*",6),RIGHT(dados_01!E122,2))</f>
        <v>186******03</v>
      </c>
      <c r="F122" s="3" t="str">
        <f>dados_01!F122</f>
        <v>INFANTIL 2</v>
      </c>
      <c r="G122" s="3" t="str">
        <f>dados_01!G122</f>
        <v>CEMEI PROFESSORA LINDOMAR DOMINGOS DA SILVA ANJOS</v>
      </c>
      <c r="H122" s="3" t="str">
        <f>dados_01!H122</f>
        <v>REGIONAL 5</v>
      </c>
      <c r="I122" s="3">
        <f>dados_01!I122</f>
        <v>0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 spans="1:26">
      <c r="A123" s="3" t="str">
        <f>dados_01!A123</f>
        <v>25/04/2026 06:48:05</v>
      </c>
      <c r="B123" s="3" t="str">
        <f>dados_01!B123</f>
        <v>31</v>
      </c>
      <c r="C123" s="3" t="str">
        <f>IFERROR(__xludf.dummyfunction("JOIN("". "", ARRAYFORMULA(IFERROR(LEFT(SPLIT(dados_01!C123, "" ""), 1))))"),"C. M. D. A")</f>
        <v>C. M. D. A</v>
      </c>
      <c r="D123" s="3" t="str">
        <f>dados_01!D123</f>
        <v>23/09/2023</v>
      </c>
      <c r="E123" s="3" t="str">
        <f>CONCATENATE(LEFT(dados_01!E123,3),REPT("*",6),RIGHT(dados_01!E123,2))</f>
        <v>000******91</v>
      </c>
      <c r="F123" s="3" t="str">
        <f>dados_01!F123</f>
        <v>INFANTIL 2</v>
      </c>
      <c r="G123" s="3" t="str">
        <f>dados_01!G123</f>
        <v>CEMEI PROFESSORA LINDOMAR DOMINGOS DA SILVA ANJOS</v>
      </c>
      <c r="H123" s="3" t="str">
        <f>dados_01!H123</f>
        <v>REGIONAL 5</v>
      </c>
      <c r="I123" s="3">
        <f>dados_01!I123</f>
        <v>0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 spans="1:26">
      <c r="A124" s="3" t="str">
        <f>dados_01!A124</f>
        <v>29/06/2026 09:11:46</v>
      </c>
      <c r="B124" s="3" t="str">
        <f>dados_01!B124</f>
        <v>32</v>
      </c>
      <c r="C124" s="3" t="str">
        <f>IFERROR(__xludf.dummyfunction("JOIN("". "", ARRAYFORMULA(IFERROR(LEFT(SPLIT(dados_01!C124, "" ""), 1))))"),"K. R. B. D. S")</f>
        <v>K. R. B. D. S</v>
      </c>
      <c r="D124" s="3" t="str">
        <f>dados_01!D124</f>
        <v>16/02/2024</v>
      </c>
      <c r="E124" s="3" t="str">
        <f>CONCATENATE(LEFT(dados_01!E124,3),REPT("*",6),RIGHT(dados_01!E124,2))</f>
        <v>001******30</v>
      </c>
      <c r="F124" s="3" t="str">
        <f>dados_01!F124</f>
        <v>INFANTIL 2</v>
      </c>
      <c r="G124" s="3" t="str">
        <f>dados_01!G124</f>
        <v>CEMEI PROFESSORA LINDOMAR DOMINGOS DA SILVA ANJOS</v>
      </c>
      <c r="H124" s="3" t="str">
        <f>dados_01!H124</f>
        <v>REGIONAL 5</v>
      </c>
      <c r="I124" s="3">
        <f>dados_01!I124</f>
        <v>0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 spans="1:26">
      <c r="A125" s="3" t="str">
        <f>dados_01!A125</f>
        <v>29/07/2026 11:41:38</v>
      </c>
      <c r="B125" s="3" t="str">
        <f>dados_01!B125</f>
        <v>33</v>
      </c>
      <c r="C125" s="3" t="str">
        <f>IFERROR(__xludf.dummyfunction("JOIN("". "", ARRAYFORMULA(IFERROR(LEFT(SPLIT(dados_01!C125, "" ""), 1))))"),"M. S. D. M")</f>
        <v>M. S. D. M</v>
      </c>
      <c r="D125" s="3" t="str">
        <f>dados_01!D125</f>
        <v>11/09/2023</v>
      </c>
      <c r="E125" s="3" t="str">
        <f>CONCATENATE(LEFT(dados_01!E125,3),REPT("*",6),RIGHT(dados_01!E125,2))</f>
        <v>186******09</v>
      </c>
      <c r="F125" s="3" t="str">
        <f>dados_01!F125</f>
        <v>INFANTIL 2</v>
      </c>
      <c r="G125" s="3" t="str">
        <f>dados_01!G125</f>
        <v>CEMEI PROFESSORA LINDOMAR DOMINGOS DA SILVA ANJOS</v>
      </c>
      <c r="H125" s="3" t="str">
        <f>dados_01!H125</f>
        <v>REGIONAL 5</v>
      </c>
      <c r="I125" s="3">
        <f>dados_01!I125</f>
        <v>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 spans="1:26">
      <c r="A126" s="3" t="str">
        <f>dados_01!A126</f>
        <v>21/08/2026 17:45:10</v>
      </c>
      <c r="B126" s="3" t="str">
        <f>dados_01!B126</f>
        <v>34</v>
      </c>
      <c r="C126" s="3" t="str">
        <f>IFERROR(__xludf.dummyfunction("JOIN("". "", ARRAYFORMULA(IFERROR(LEFT(SPLIT(dados_01!C126, "" ""), 1))))"),"A. S")</f>
        <v>A. S</v>
      </c>
      <c r="D126" s="3" t="str">
        <f>dados_01!D126</f>
        <v>07/05/2023</v>
      </c>
      <c r="E126" s="3" t="str">
        <f>CONCATENATE(LEFT(dados_01!E126,3),REPT("*",6),RIGHT(dados_01!E126,2))</f>
        <v>166******09</v>
      </c>
      <c r="F126" s="3" t="str">
        <f>dados_01!F126</f>
        <v>INFANTIL 2</v>
      </c>
      <c r="G126" s="3" t="str">
        <f>dados_01!G126</f>
        <v>CEMEI PROFESSORA LINDOMAR DOMINGOS DA SILVA ANJOS</v>
      </c>
      <c r="H126" s="3" t="str">
        <f>dados_01!H126</f>
        <v>REGIONAL 5</v>
      </c>
      <c r="I126" s="3">
        <f>dados_01!I126</f>
        <v>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 spans="1:26">
      <c r="A127" s="3" t="str">
        <f>dados_01!A127</f>
        <v>17/09/2026 11:46:58</v>
      </c>
      <c r="B127" s="3" t="str">
        <f>dados_01!B127</f>
        <v>35</v>
      </c>
      <c r="C127" s="3" t="str">
        <f>IFERROR(__xludf.dummyfunction("JOIN("". "", ARRAYFORMULA(IFERROR(LEFT(SPLIT(dados_01!C127, "" ""), 1))))"),"H. W. V. P")</f>
        <v>H. W. V. P</v>
      </c>
      <c r="D127" s="3" t="str">
        <f>dados_01!D127</f>
        <v>31/05/2023</v>
      </c>
      <c r="E127" s="3" t="str">
        <f>CONCATENATE(LEFT(dados_01!E127,3),REPT("*",6),RIGHT(dados_01!E127,2))</f>
        <v>185******09</v>
      </c>
      <c r="F127" s="3" t="str">
        <f>dados_01!F127</f>
        <v>INFANTIL 2</v>
      </c>
      <c r="G127" s="3" t="str">
        <f>dados_01!G127</f>
        <v>CEMEI PROFESSORA LINDOMAR DOMINGOS DA SILVA ANJOS</v>
      </c>
      <c r="H127" s="3" t="str">
        <f>dados_01!H127</f>
        <v>REGIONAL 5</v>
      </c>
      <c r="I127" s="3">
        <f>dados_01!I127</f>
        <v>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 spans="1:26">
      <c r="A128" s="3" t="str">
        <f>dados_01!A128</f>
        <v>28/01/2026 08:09:51</v>
      </c>
      <c r="B128" s="3" t="str">
        <f>dados_01!B128</f>
        <v>1</v>
      </c>
      <c r="C128" s="3" t="str">
        <f>IFERROR(__xludf.dummyfunction("JOIN("". "", ARRAYFORMULA(IFERROR(LEFT(SPLIT(dados_01!C128, "" ""), 1))))"),"J. V. M. D. S. S")</f>
        <v>J. V. M. D. S. S</v>
      </c>
      <c r="D128" s="3" t="str">
        <f>dados_01!D128</f>
        <v>11/08/2022</v>
      </c>
      <c r="E128" s="3" t="str">
        <f>CONCATENATE(LEFT(dados_01!E128,3),REPT("*",6),RIGHT(dados_01!E128,2))</f>
        <v>182******05</v>
      </c>
      <c r="F128" s="3" t="str">
        <f>dados_01!F128</f>
        <v>INFANTIL 3</v>
      </c>
      <c r="G128" s="3" t="str">
        <f>dados_01!G128</f>
        <v>CEMEI PROFESSORA LINDOMAR DOMINGOS DA SILVA ANJOS</v>
      </c>
      <c r="H128" s="3" t="str">
        <f>dados_01!H128</f>
        <v>REGIONAL 5</v>
      </c>
      <c r="I128" s="3">
        <f>dados_01!I128</f>
        <v>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 spans="1:26">
      <c r="A129" s="3" t="str">
        <f>dados_01!A129</f>
        <v>28/01/2026 08:18:50</v>
      </c>
      <c r="B129" s="3" t="str">
        <f>dados_01!B129</f>
        <v>2</v>
      </c>
      <c r="C129" s="3" t="str">
        <f>IFERROR(__xludf.dummyfunction("JOIN("". "", ARRAYFORMULA(IFERROR(LEFT(SPLIT(dados_01!C129, "" ""), 1))))"),"T. S. A. S")</f>
        <v>T. S. A. S</v>
      </c>
      <c r="D129" s="3" t="str">
        <f>dados_01!D129</f>
        <v>25/06/2022</v>
      </c>
      <c r="E129" s="3" t="str">
        <f>CONCATENATE(LEFT(dados_01!E129,3),REPT("*",6),RIGHT(dados_01!E129,2))</f>
        <v>182******52</v>
      </c>
      <c r="F129" s="3" t="str">
        <f>dados_01!F129</f>
        <v>INFANTIL 3</v>
      </c>
      <c r="G129" s="3" t="str">
        <f>dados_01!G129</f>
        <v>CEMEI PROFESSORA LINDOMAR DOMINGOS DA SILVA ANJOS</v>
      </c>
      <c r="H129" s="3" t="str">
        <f>dados_01!H129</f>
        <v>REGIONAL 5</v>
      </c>
      <c r="I129" s="3">
        <f>dados_01!I129</f>
        <v>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 spans="1:26">
      <c r="A130" s="3" t="str">
        <f>dados_01!A130</f>
        <v>28/01/2026 08:24:51</v>
      </c>
      <c r="B130" s="3" t="str">
        <f>dados_01!B130</f>
        <v>3</v>
      </c>
      <c r="C130" s="3" t="str">
        <f>IFERROR(__xludf.dummyfunction("JOIN("". "", ARRAYFORMULA(IFERROR(LEFT(SPLIT(dados_01!C130, "" ""), 1))))"),"K. L. V. D. S")</f>
        <v>K. L. V. D. S</v>
      </c>
      <c r="D130" s="3" t="str">
        <f>dados_01!D130</f>
        <v>14/01/2023</v>
      </c>
      <c r="E130" s="3" t="str">
        <f>CONCATENATE(LEFT(dados_01!E130,3),REPT("*",6),RIGHT(dados_01!E130,2))</f>
        <v>184******86</v>
      </c>
      <c r="F130" s="3" t="str">
        <f>dados_01!F130</f>
        <v>INFANTIL 3</v>
      </c>
      <c r="G130" s="3" t="str">
        <f>dados_01!G130</f>
        <v>CEMEI PROFESSORA LINDOMAR DOMINGOS DA SILVA ANJOS</v>
      </c>
      <c r="H130" s="3" t="str">
        <f>dados_01!H130</f>
        <v>REGIONAL 5</v>
      </c>
      <c r="I130" s="3">
        <f>dados_01!I130</f>
        <v>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 spans="1:26">
      <c r="A131" s="3" t="str">
        <f>dados_01!A131</f>
        <v>28/01/2026 08:40:24</v>
      </c>
      <c r="B131" s="3" t="str">
        <f>dados_01!B131</f>
        <v>4</v>
      </c>
      <c r="C131" s="3" t="str">
        <f>IFERROR(__xludf.dummyfunction("JOIN("". "", ARRAYFORMULA(IFERROR(LEFT(SPLIT(dados_01!C131, "" ""), 1))))"),"A. H. D. O. S")</f>
        <v>A. H. D. O. S</v>
      </c>
      <c r="D131" s="3" t="str">
        <f>dados_01!D131</f>
        <v>16/05/2022</v>
      </c>
      <c r="E131" s="3" t="str">
        <f>CONCATENATE(LEFT(dados_01!E131,3),REPT("*",6),RIGHT(dados_01!E131,2))</f>
        <v>181******57</v>
      </c>
      <c r="F131" s="3" t="str">
        <f>dados_01!F131</f>
        <v>INFANTIL 3</v>
      </c>
      <c r="G131" s="3" t="str">
        <f>dados_01!G131</f>
        <v>CEMEI PROFESSORA LINDOMAR DOMINGOS DA SILVA ANJOS</v>
      </c>
      <c r="H131" s="3" t="str">
        <f>dados_01!H131</f>
        <v>REGIONAL 5</v>
      </c>
      <c r="I131" s="3">
        <f>dados_01!I131</f>
        <v>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 spans="1:26">
      <c r="A132" s="3" t="str">
        <f>dados_01!A132</f>
        <v>28/01/2026 08:49:30</v>
      </c>
      <c r="B132" s="3" t="str">
        <f>dados_01!B132</f>
        <v>5</v>
      </c>
      <c r="C132" s="3" t="str">
        <f>IFERROR(__xludf.dummyfunction("JOIN("". "", ARRAYFORMULA(IFERROR(LEFT(SPLIT(dados_01!C132, "" ""), 1))))"),"J. B. S. D. S")</f>
        <v>J. B. S. D. S</v>
      </c>
      <c r="D132" s="3" t="str">
        <f>dados_01!D132</f>
        <v>06/03/2023</v>
      </c>
      <c r="E132" s="3" t="str">
        <f>CONCATENATE(LEFT(dados_01!E132,3),REPT("*",6),RIGHT(dados_01!E132,2))</f>
        <v>184******70</v>
      </c>
      <c r="F132" s="3" t="str">
        <f>dados_01!F132</f>
        <v>INFANTIL 3</v>
      </c>
      <c r="G132" s="3" t="str">
        <f>dados_01!G132</f>
        <v>CEMEI PROFESSORA LINDOMAR DOMINGOS DA SILVA ANJOS</v>
      </c>
      <c r="H132" s="3" t="str">
        <f>dados_01!H132</f>
        <v>REGIONAL 5</v>
      </c>
      <c r="I132" s="3">
        <f>dados_01!I132</f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 spans="1:26">
      <c r="A133" s="3" t="str">
        <f>dados_01!A133</f>
        <v>28/01/2026 10:50:39</v>
      </c>
      <c r="B133" s="3" t="str">
        <f>dados_01!B133</f>
        <v>6</v>
      </c>
      <c r="C133" s="3" t="str">
        <f>IFERROR(__xludf.dummyfunction("JOIN("". "", ARRAYFORMULA(IFERROR(LEFT(SPLIT(dados_01!C133, "" ""), 1))))"),"G. S. R")</f>
        <v>G. S. R</v>
      </c>
      <c r="D133" s="3" t="str">
        <f>dados_01!D133</f>
        <v>14/04/2022</v>
      </c>
      <c r="E133" s="3" t="str">
        <f>CONCATENATE(LEFT(dados_01!E133,3),REPT("*",6),RIGHT(dados_01!E133,2))</f>
        <v>181******84</v>
      </c>
      <c r="F133" s="3" t="str">
        <f>dados_01!F133</f>
        <v>INFANTIL 3</v>
      </c>
      <c r="G133" s="3" t="str">
        <f>dados_01!G133</f>
        <v>CEMEI PROFESSORA LINDOMAR DOMINGOS DA SILVA ANJOS</v>
      </c>
      <c r="H133" s="3" t="str">
        <f>dados_01!H133</f>
        <v>REGIONAL 5</v>
      </c>
      <c r="I133" s="3">
        <f>dados_01!I133</f>
        <v>0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 spans="1:26">
      <c r="A134" s="3" t="str">
        <f>dados_01!A134</f>
        <v>28/01/2026 15:27:57</v>
      </c>
      <c r="B134" s="3" t="str">
        <f>dados_01!B134</f>
        <v>7</v>
      </c>
      <c r="C134" s="3" t="str">
        <f>IFERROR(__xludf.dummyfunction("JOIN("". "", ARRAYFORMULA(IFERROR(LEFT(SPLIT(dados_01!C134, "" ""), 1))))"),"A. B. N. D. S")</f>
        <v>A. B. N. D. S</v>
      </c>
      <c r="D134" s="3" t="str">
        <f>dados_01!D134</f>
        <v>19/04/2022</v>
      </c>
      <c r="E134" s="3" t="str">
        <f>CONCATENATE(LEFT(dados_01!E134,3),REPT("*",6),RIGHT(dados_01!E134,2))</f>
        <v>181******03</v>
      </c>
      <c r="F134" s="3" t="str">
        <f>dados_01!F134</f>
        <v>INFANTIL 3</v>
      </c>
      <c r="G134" s="3" t="str">
        <f>dados_01!G134</f>
        <v>CEMEI PROFESSORA LINDOMAR DOMINGOS DA SILVA ANJOS</v>
      </c>
      <c r="H134" s="3" t="str">
        <f>dados_01!H134</f>
        <v>REGIONAL 5</v>
      </c>
      <c r="I134" s="3">
        <f>dados_01!I134</f>
        <v>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 spans="1:26">
      <c r="A135" s="3" t="str">
        <f>dados_01!A135</f>
        <v>28/01/2026 16:26:14</v>
      </c>
      <c r="B135" s="3" t="str">
        <f>dados_01!B135</f>
        <v>8</v>
      </c>
      <c r="C135" s="3" t="str">
        <f>IFERROR(__xludf.dummyfunction("JOIN("". "", ARRAYFORMULA(IFERROR(LEFT(SPLIT(dados_01!C135, "" ""), 1))))"),"A. T. S. D. S")</f>
        <v>A. T. S. D. S</v>
      </c>
      <c r="D135" s="3" t="str">
        <f>dados_01!D135</f>
        <v>13/12/2022</v>
      </c>
      <c r="E135" s="3" t="str">
        <f>CONCATENATE(LEFT(dados_01!E135,3),REPT("*",6),RIGHT(dados_01!E135,2))</f>
        <v>184******30</v>
      </c>
      <c r="F135" s="3" t="str">
        <f>dados_01!F135</f>
        <v>INFANTIL 3</v>
      </c>
      <c r="G135" s="3" t="str">
        <f>dados_01!G135</f>
        <v>CEMEI PROFESSORA LINDOMAR DOMINGOS DA SILVA ANJOS</v>
      </c>
      <c r="H135" s="3" t="str">
        <f>dados_01!H135</f>
        <v>REGIONAL 5</v>
      </c>
      <c r="I135" s="3">
        <f>dados_01!I135</f>
        <v>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 spans="1:26">
      <c r="A136" s="3" t="str">
        <f>dados_01!A136</f>
        <v>28/01/2026 22:31:23</v>
      </c>
      <c r="B136" s="3" t="str">
        <f>dados_01!B136</f>
        <v>9</v>
      </c>
      <c r="C136" s="3" t="str">
        <f>IFERROR(__xludf.dummyfunction("JOIN("". "", ARRAYFORMULA(IFERROR(LEFT(SPLIT(dados_01!C136, "" ""), 1))))"),"L. M. D. H. S")</f>
        <v>L. M. D. H. S</v>
      </c>
      <c r="D136" s="3" t="str">
        <f>dados_01!D136</f>
        <v>26/12/2022</v>
      </c>
      <c r="E136" s="3" t="str">
        <f>CONCATENATE(LEFT(dados_01!E136,3),REPT("*",6),RIGHT(dados_01!E136,2))</f>
        <v>184******90</v>
      </c>
      <c r="F136" s="3" t="str">
        <f>dados_01!F136</f>
        <v>INFANTIL 3</v>
      </c>
      <c r="G136" s="3" t="str">
        <f>dados_01!G136</f>
        <v>CEMEI PROFESSORA LINDOMAR DOMINGOS DA SILVA ANJOS</v>
      </c>
      <c r="H136" s="3" t="str">
        <f>dados_01!H136</f>
        <v>REGIONAL 5</v>
      </c>
      <c r="I136" s="3">
        <f>dados_01!I136</f>
        <v>0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 spans="1:26">
      <c r="A137" s="3" t="str">
        <f>dados_01!A137</f>
        <v>29/01/2026 13:04:58</v>
      </c>
      <c r="B137" s="3" t="str">
        <f>dados_01!B137</f>
        <v>10</v>
      </c>
      <c r="C137" s="3" t="str">
        <f>IFERROR(__xludf.dummyfunction("JOIN("". "", ARRAYFORMULA(IFERROR(LEFT(SPLIT(dados_01!C137, "" ""), 1))))"),"G. A. G. D. S")</f>
        <v>G. A. G. D. S</v>
      </c>
      <c r="D137" s="3" t="str">
        <f>dados_01!D137</f>
        <v>19/02/2023</v>
      </c>
      <c r="E137" s="3" t="str">
        <f>CONCATENATE(LEFT(dados_01!E137,3),REPT("*",6),RIGHT(dados_01!E137,2))</f>
        <v>184******99</v>
      </c>
      <c r="F137" s="3" t="str">
        <f>dados_01!F137</f>
        <v>INFANTIL 3</v>
      </c>
      <c r="G137" s="3" t="str">
        <f>dados_01!G137</f>
        <v>CEMEI PROFESSORA LINDOMAR DOMINGOS DA SILVA ANJOS</v>
      </c>
      <c r="H137" s="3" t="str">
        <f>dados_01!H137</f>
        <v>REGIONAL 5</v>
      </c>
      <c r="I137" s="3">
        <f>dados_01!I137</f>
        <v>0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 spans="1:26">
      <c r="A138" s="3" t="str">
        <f>dados_01!A138</f>
        <v>29/01/2026 14:26:01</v>
      </c>
      <c r="B138" s="3" t="str">
        <f>dados_01!B138</f>
        <v>11</v>
      </c>
      <c r="C138" s="3" t="str">
        <f>IFERROR(__xludf.dummyfunction("JOIN("". "", ARRAYFORMULA(IFERROR(LEFT(SPLIT(dados_01!C138, "" ""), 1))))"),"I. M. C. G")</f>
        <v>I. M. C. G</v>
      </c>
      <c r="D138" s="3" t="str">
        <f>dados_01!D138</f>
        <v>18/02/2023</v>
      </c>
      <c r="E138" s="3" t="str">
        <f>CONCATENATE(LEFT(dados_01!E138,3),REPT("*",6),RIGHT(dados_01!E138,2))</f>
        <v>185******45</v>
      </c>
      <c r="F138" s="3" t="str">
        <f>dados_01!F138</f>
        <v>INFANTIL 3</v>
      </c>
      <c r="G138" s="3" t="str">
        <f>dados_01!G138</f>
        <v>CEMEI PROFESSORA LINDOMAR DOMINGOS DA SILVA ANJOS</v>
      </c>
      <c r="H138" s="3" t="str">
        <f>dados_01!H138</f>
        <v>REGIONAL 5</v>
      </c>
      <c r="I138" s="3">
        <f>dados_01!I138</f>
        <v>0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 spans="1:26">
      <c r="A139" s="3" t="str">
        <f>dados_01!A139</f>
        <v>01/02/2026 17:23:13</v>
      </c>
      <c r="B139" s="3" t="str">
        <f>dados_01!B139</f>
        <v>12</v>
      </c>
      <c r="C139" s="3" t="str">
        <f>IFERROR(__xludf.dummyfunction("JOIN("". "", ARRAYFORMULA(IFERROR(LEFT(SPLIT(dados_01!C139, "" ""), 1))))"),"T. H. G. D. S")</f>
        <v>T. H. G. D. S</v>
      </c>
      <c r="D139" s="3" t="str">
        <f>dados_01!D139</f>
        <v>18/07/2022</v>
      </c>
      <c r="E139" s="3" t="str">
        <f>CONCATENATE(LEFT(dados_01!E139,3),REPT("*",6),RIGHT(dados_01!E139,2))</f>
        <v>182******13</v>
      </c>
      <c r="F139" s="3" t="str">
        <f>dados_01!F139</f>
        <v>INFANTIL 3</v>
      </c>
      <c r="G139" s="3" t="str">
        <f>dados_01!G139</f>
        <v>CEMEI PROFESSORA LINDOMAR DOMINGOS DA SILVA ANJOS</v>
      </c>
      <c r="H139" s="3" t="str">
        <f>dados_01!H139</f>
        <v>REGIONAL 5</v>
      </c>
      <c r="I139" s="3">
        <f>dados_01!I139</f>
        <v>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 spans="1:26">
      <c r="A140" s="3" t="str">
        <f>dados_01!A140</f>
        <v>02/02/2026 08:52:36</v>
      </c>
      <c r="B140" s="3" t="str">
        <f>dados_01!B140</f>
        <v>13</v>
      </c>
      <c r="C140" s="3" t="str">
        <f>IFERROR(__xludf.dummyfunction("JOIN("". "", ARRAYFORMULA(IFERROR(LEFT(SPLIT(dados_01!C140, "" ""), 1))))"),"N. S. N")</f>
        <v>N. S. N</v>
      </c>
      <c r="D140" s="3" t="str">
        <f>dados_01!D140</f>
        <v>20/09/2022</v>
      </c>
      <c r="E140" s="3" t="str">
        <f>CONCATENATE(LEFT(dados_01!E140,3),REPT("*",6),RIGHT(dados_01!E140,2))</f>
        <v>231******48</v>
      </c>
      <c r="F140" s="3" t="str">
        <f>dados_01!F140</f>
        <v>INFANTIL 3</v>
      </c>
      <c r="G140" s="3" t="str">
        <f>dados_01!G140</f>
        <v>CEMEI PROFESSORA LINDOMAR DOMINGOS DA SILVA ANJOS</v>
      </c>
      <c r="H140" s="3" t="str">
        <f>dados_01!H140</f>
        <v>REGIONAL 5</v>
      </c>
      <c r="I140" s="3">
        <f>dados_01!I140</f>
        <v>0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 spans="1:26">
      <c r="A141" s="3" t="str">
        <f>dados_01!A141</f>
        <v>04/02/2026 14:48:24</v>
      </c>
      <c r="B141" s="3" t="str">
        <f>dados_01!B141</f>
        <v>14</v>
      </c>
      <c r="C141" s="3" t="str">
        <f>IFERROR(__xludf.dummyfunction("JOIN("". "", ARRAYFORMULA(IFERROR(LEFT(SPLIT(dados_01!C141, "" ""), 1))))"),"R. L. A. D. S")</f>
        <v>R. L. A. D. S</v>
      </c>
      <c r="D141" s="3" t="str">
        <f>dados_01!D141</f>
        <v>06/03/2023</v>
      </c>
      <c r="E141" s="3" t="str">
        <f>CONCATENATE(LEFT(dados_01!E141,3),REPT("*",6),RIGHT(dados_01!E141,2))</f>
        <v>184******04</v>
      </c>
      <c r="F141" s="3" t="str">
        <f>dados_01!F141</f>
        <v>INFANTIL 3</v>
      </c>
      <c r="G141" s="3" t="str">
        <f>dados_01!G141</f>
        <v>CEMEI PROFESSORA LINDOMAR DOMINGOS DA SILVA ANJOS</v>
      </c>
      <c r="H141" s="3" t="str">
        <f>dados_01!H141</f>
        <v>REGIONAL 5</v>
      </c>
      <c r="I141" s="3">
        <f>dados_01!I141</f>
        <v>0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 spans="1:26">
      <c r="A142" s="3" t="str">
        <f>dados_01!A142</f>
        <v>05/02/2026 15:38:25</v>
      </c>
      <c r="B142" s="3" t="str">
        <f>dados_01!B142</f>
        <v>15</v>
      </c>
      <c r="C142" s="3" t="str">
        <f>IFERROR(__xludf.dummyfunction("JOIN("". "", ARRAYFORMULA(IFERROR(LEFT(SPLIT(dados_01!C142, "" ""), 1))))"),"A. L. M. S. D. S")</f>
        <v>A. L. M. S. D. S</v>
      </c>
      <c r="D142" s="3" t="str">
        <f>dados_01!D142</f>
        <v>13/06/2022</v>
      </c>
      <c r="E142" s="3" t="str">
        <f>CONCATENATE(LEFT(dados_01!E142,3),REPT("*",6),RIGHT(dados_01!E142,2))</f>
        <v>181******47</v>
      </c>
      <c r="F142" s="3" t="str">
        <f>dados_01!F142</f>
        <v>INFANTIL 3</v>
      </c>
      <c r="G142" s="3" t="str">
        <f>dados_01!G142</f>
        <v>CEMEI PROFESSORA LINDOMAR DOMINGOS DA SILVA ANJOS</v>
      </c>
      <c r="H142" s="3" t="str">
        <f>dados_01!H142</f>
        <v>REGIONAL 5</v>
      </c>
      <c r="I142" s="3">
        <f>dados_01!I142</f>
        <v>0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 spans="1:26">
      <c r="A143" s="3" t="str">
        <f>dados_01!A143</f>
        <v>06/02/2026 15:36:56</v>
      </c>
      <c r="B143" s="3" t="str">
        <f>dados_01!B143</f>
        <v>16</v>
      </c>
      <c r="C143" s="3" t="str">
        <f>IFERROR(__xludf.dummyfunction("JOIN("". "", ARRAYFORMULA(IFERROR(LEFT(SPLIT(dados_01!C143, "" ""), 1))))"),"M. B. D. S")</f>
        <v>M. B. D. S</v>
      </c>
      <c r="D143" s="3" t="str">
        <f>dados_01!D143</f>
        <v>13/11/2022</v>
      </c>
      <c r="E143" s="3" t="str">
        <f>CONCATENATE(LEFT(dados_01!E143,3),REPT("*",6),RIGHT(dados_01!E143,2))</f>
        <v>183******21</v>
      </c>
      <c r="F143" s="3" t="str">
        <f>dados_01!F143</f>
        <v>INFANTIL 3</v>
      </c>
      <c r="G143" s="3" t="str">
        <f>dados_01!G143</f>
        <v>CEMEI PROFESSORA LINDOMAR DOMINGOS DA SILVA ANJOS</v>
      </c>
      <c r="H143" s="3" t="str">
        <f>dados_01!H143</f>
        <v>REGIONAL 5</v>
      </c>
      <c r="I143" s="3">
        <f>dados_01!I143</f>
        <v>0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 spans="1:26">
      <c r="A144" s="3" t="str">
        <f>dados_01!A144</f>
        <v>10/02/2026 09:04:52</v>
      </c>
      <c r="B144" s="3" t="str">
        <f>dados_01!B144</f>
        <v>17</v>
      </c>
      <c r="C144" s="3" t="str">
        <f>IFERROR(__xludf.dummyfunction("JOIN("". "", ARRAYFORMULA(IFERROR(LEFT(SPLIT(dados_01!C144, "" ""), 1))))"),"A. C. M. S. D. S")</f>
        <v>A. C. M. S. D. S</v>
      </c>
      <c r="D144" s="3" t="str">
        <f>dados_01!D144</f>
        <v>13/06/2022</v>
      </c>
      <c r="E144" s="3" t="str">
        <f>CONCATENATE(LEFT(dados_01!E144,3),REPT("*",6),RIGHT(dados_01!E144,2))</f>
        <v>181******43</v>
      </c>
      <c r="F144" s="3" t="str">
        <f>dados_01!F144</f>
        <v>INFANTIL 3</v>
      </c>
      <c r="G144" s="3" t="str">
        <f>dados_01!G144</f>
        <v>CEMEI PROFESSORA LINDOMAR DOMINGOS DA SILVA ANJOS</v>
      </c>
      <c r="H144" s="3" t="str">
        <f>dados_01!H144</f>
        <v>REGIONAL 5</v>
      </c>
      <c r="I144" s="3">
        <f>dados_01!I144</f>
        <v>0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 spans="1:26">
      <c r="A145" s="3" t="str">
        <f>dados_01!A145</f>
        <v>10/02/2026 10:01:04</v>
      </c>
      <c r="B145" s="3" t="str">
        <f>dados_01!B145</f>
        <v>18</v>
      </c>
      <c r="C145" s="3" t="str">
        <f>IFERROR(__xludf.dummyfunction("JOIN("". "", ARRAYFORMULA(IFERROR(LEFT(SPLIT(dados_01!C145, "" ""), 1))))"),"R. V. D. S. M")</f>
        <v>R. V. D. S. M</v>
      </c>
      <c r="D145" s="3" t="str">
        <f>dados_01!D145</f>
        <v>22/08/2022</v>
      </c>
      <c r="E145" s="3" t="str">
        <f>CONCATENATE(LEFT(dados_01!E145,3),REPT("*",6),RIGHT(dados_01!E145,2))</f>
        <v>182******47</v>
      </c>
      <c r="F145" s="3" t="str">
        <f>dados_01!F145</f>
        <v>INFANTIL 3</v>
      </c>
      <c r="G145" s="3" t="str">
        <f>dados_01!G145</f>
        <v>CEMEI PROFESSORA LINDOMAR DOMINGOS DA SILVA ANJOS</v>
      </c>
      <c r="H145" s="3" t="str">
        <f>dados_01!H145</f>
        <v>REGIONAL 5</v>
      </c>
      <c r="I145" s="3">
        <f>dados_01!I145</f>
        <v>0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 spans="1:26">
      <c r="A146" s="3" t="str">
        <f>dados_01!A146</f>
        <v>19/02/2026 09:51:04</v>
      </c>
      <c r="B146" s="3" t="str">
        <f>dados_01!B146</f>
        <v>19</v>
      </c>
      <c r="C146" s="3" t="str">
        <f>IFERROR(__xludf.dummyfunction("JOIN("". "", ARRAYFORMULA(IFERROR(LEFT(SPLIT(dados_01!C146, "" ""), 1))))"),"A. L. B. S")</f>
        <v>A. L. B. S</v>
      </c>
      <c r="D146" s="3" t="str">
        <f>dados_01!D146</f>
        <v>28/08/2022</v>
      </c>
      <c r="E146" s="3" t="str">
        <f>CONCATENATE(LEFT(dados_01!E146,3),REPT("*",6),RIGHT(dados_01!E146,2))</f>
        <v>183******41</v>
      </c>
      <c r="F146" s="3" t="str">
        <f>dados_01!F146</f>
        <v>INFANTIL 3</v>
      </c>
      <c r="G146" s="3" t="str">
        <f>dados_01!G146</f>
        <v>CEMEI PROFESSORA LINDOMAR DOMINGOS DA SILVA ANJOS</v>
      </c>
      <c r="H146" s="3" t="str">
        <f>dados_01!H146</f>
        <v>REGIONAL 5</v>
      </c>
      <c r="I146" s="3">
        <f>dados_01!I146</f>
        <v>0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 spans="1:26">
      <c r="A147" s="3" t="str">
        <f>dados_01!A147</f>
        <v>19/02/2026 16:10:29</v>
      </c>
      <c r="B147" s="3" t="str">
        <f>dados_01!B147</f>
        <v>20</v>
      </c>
      <c r="C147" s="3" t="str">
        <f>IFERROR(__xludf.dummyfunction("JOIN("". "", ARRAYFORMULA(IFERROR(LEFT(SPLIT(dados_01!C147, "" ""), 1))))"),"L. F. L")</f>
        <v>L. F. L</v>
      </c>
      <c r="D147" s="3" t="str">
        <f>dados_01!D147</f>
        <v>19/07/2022</v>
      </c>
      <c r="E147" s="3" t="str">
        <f>CONCATENATE(LEFT(dados_01!E147,3),REPT("*",6),RIGHT(dados_01!E147,2))</f>
        <v>182******54</v>
      </c>
      <c r="F147" s="3" t="str">
        <f>dados_01!F147</f>
        <v>INFANTIL 3</v>
      </c>
      <c r="G147" s="3" t="str">
        <f>dados_01!G147</f>
        <v>CEMEI PROFESSORA LINDOMAR DOMINGOS DA SILVA ANJOS</v>
      </c>
      <c r="H147" s="3" t="str">
        <f>dados_01!H147</f>
        <v>REGIONAL 5</v>
      </c>
      <c r="I147" s="3">
        <f>dados_01!I147</f>
        <v>0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 spans="1:26">
      <c r="A148" s="3" t="str">
        <f>dados_01!A148</f>
        <v>03/03/2026 13:51:57</v>
      </c>
      <c r="B148" s="3" t="str">
        <f>dados_01!B148</f>
        <v>21</v>
      </c>
      <c r="C148" s="3" t="str">
        <f>IFERROR(__xludf.dummyfunction("JOIN("". "", ARRAYFORMULA(IFERROR(LEFT(SPLIT(dados_01!C148, "" ""), 1))))"),"T. R. D. D. M")</f>
        <v>T. R. D. D. M</v>
      </c>
      <c r="D148" s="3" t="str">
        <f>dados_01!D148</f>
        <v>15/03/2023</v>
      </c>
      <c r="E148" s="3" t="str">
        <f>CONCATENATE(LEFT(dados_01!E148,3),REPT("*",6),RIGHT(dados_01!E148,2))</f>
        <v>184******07</v>
      </c>
      <c r="F148" s="3" t="str">
        <f>dados_01!F148</f>
        <v>INFANTIL 3</v>
      </c>
      <c r="G148" s="3" t="str">
        <f>dados_01!G148</f>
        <v>CEMEI PROFESSORA LINDOMAR DOMINGOS DA SILVA ANJOS</v>
      </c>
      <c r="H148" s="3" t="str">
        <f>dados_01!H148</f>
        <v>REGIONAL 5</v>
      </c>
      <c r="I148" s="3">
        <f>dados_01!I148</f>
        <v>0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 spans="1:26">
      <c r="A149" s="3" t="str">
        <f>dados_01!A149</f>
        <v>24/03/2026 15:33:58</v>
      </c>
      <c r="B149" s="3" t="str">
        <f>dados_01!B149</f>
        <v>22</v>
      </c>
      <c r="C149" s="3" t="str">
        <f>IFERROR(__xludf.dummyfunction("JOIN("". "", ARRAYFORMULA(IFERROR(LEFT(SPLIT(dados_01!C149, "" ""), 1))))"),"A. V. C. D. S")</f>
        <v>A. V. C. D. S</v>
      </c>
      <c r="D149" s="3" t="str">
        <f>dados_01!D149</f>
        <v>06/10/2022</v>
      </c>
      <c r="E149" s="3" t="str">
        <f>CONCATENATE(LEFT(dados_01!E149,3),REPT("*",6),RIGHT(dados_01!E149,2))</f>
        <v>093******73</v>
      </c>
      <c r="F149" s="3" t="str">
        <f>dados_01!F149</f>
        <v>INFANTIL 3</v>
      </c>
      <c r="G149" s="3" t="str">
        <f>dados_01!G149</f>
        <v>CEMEI PROFESSORA LINDOMAR DOMINGOS DA SILVA ANJOS</v>
      </c>
      <c r="H149" s="3" t="str">
        <f>dados_01!H149</f>
        <v>REGIONAL 5</v>
      </c>
      <c r="I149" s="3">
        <f>dados_01!I149</f>
        <v>0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 spans="1:26">
      <c r="A150" s="3" t="str">
        <f>dados_01!A150</f>
        <v>09/04/2026 12:42:59</v>
      </c>
      <c r="B150" s="3" t="str">
        <f>dados_01!B150</f>
        <v>23</v>
      </c>
      <c r="C150" s="3" t="str">
        <f>IFERROR(__xludf.dummyfunction("JOIN("". "", ARRAYFORMULA(IFERROR(LEFT(SPLIT(dados_01!C150, "" ""), 1))))"),"T. E. D. S")</f>
        <v>T. E. D. S</v>
      </c>
      <c r="D150" s="3" t="str">
        <f>dados_01!D150</f>
        <v>28/09/2022</v>
      </c>
      <c r="E150" s="3" t="str">
        <f>CONCATENATE(LEFT(dados_01!E150,3),REPT("*",6),RIGHT(dados_01!E150,2))</f>
        <v>183******73</v>
      </c>
      <c r="F150" s="3" t="str">
        <f>dados_01!F150</f>
        <v>INFANTIL 3</v>
      </c>
      <c r="G150" s="3" t="str">
        <f>dados_01!G150</f>
        <v>CEMEI PROFESSORA LINDOMAR DOMINGOS DA SILVA ANJOS</v>
      </c>
      <c r="H150" s="3" t="str">
        <f>dados_01!H150</f>
        <v>REGIONAL 5</v>
      </c>
      <c r="I150" s="3">
        <f>dados_01!I150</f>
        <v>0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 spans="1:26">
      <c r="A151" s="3" t="str">
        <f>dados_01!A151</f>
        <v>15/04/2026 12:12:34</v>
      </c>
      <c r="B151" s="3" t="str">
        <f>dados_01!B151</f>
        <v>24</v>
      </c>
      <c r="C151" s="3" t="str">
        <f>IFERROR(__xludf.dummyfunction("JOIN("". "", ARRAYFORMULA(IFERROR(LEFT(SPLIT(dados_01!C151, "" ""), 1))))"),"L. M. M. D. C")</f>
        <v>L. M. M. D. C</v>
      </c>
      <c r="D151" s="3" t="str">
        <f>dados_01!D151</f>
        <v>15/05/2022</v>
      </c>
      <c r="E151" s="3" t="str">
        <f>CONCATENATE(LEFT(dados_01!E151,3),REPT("*",6),RIGHT(dados_01!E151,2))</f>
        <v>181******39</v>
      </c>
      <c r="F151" s="3" t="str">
        <f>dados_01!F151</f>
        <v>INFANTIL 3</v>
      </c>
      <c r="G151" s="3" t="str">
        <f>dados_01!G151</f>
        <v>CEMEI PROFESSORA LINDOMAR DOMINGOS DA SILVA ANJOS</v>
      </c>
      <c r="H151" s="3" t="str">
        <f>dados_01!H151</f>
        <v>REGIONAL 5</v>
      </c>
      <c r="I151" s="3">
        <f>dados_01!I151</f>
        <v>0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 spans="1:26">
      <c r="A152" s="3" t="str">
        <f>dados_01!A152</f>
        <v>15/04/2026 20:08:01</v>
      </c>
      <c r="B152" s="3" t="str">
        <f>dados_01!B152</f>
        <v>25</v>
      </c>
      <c r="C152" s="3" t="str">
        <f>IFERROR(__xludf.dummyfunction("JOIN("". "", ARRAYFORMULA(IFERROR(LEFT(SPLIT(dados_01!C152, "" ""), 1))))"),"M. L. V. D. S")</f>
        <v>M. L. V. D. S</v>
      </c>
      <c r="D152" s="3" t="str">
        <f>dados_01!D152</f>
        <v>06/03/2023</v>
      </c>
      <c r="E152" s="3" t="str">
        <f>CONCATENATE(LEFT(dados_01!E152,3),REPT("*",6),RIGHT(dados_01!E152,2))</f>
        <v>184******09</v>
      </c>
      <c r="F152" s="3" t="str">
        <f>dados_01!F152</f>
        <v>INFANTIL 3</v>
      </c>
      <c r="G152" s="3" t="str">
        <f>dados_01!G152</f>
        <v>CEMEI PROFESSORA LINDOMAR DOMINGOS DA SILVA ANJOS</v>
      </c>
      <c r="H152" s="3" t="str">
        <f>dados_01!H152</f>
        <v>REGIONAL 5</v>
      </c>
      <c r="I152" s="3">
        <f>dados_01!I152</f>
        <v>0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 spans="1:26">
      <c r="A153" s="3" t="str">
        <f>dados_01!A153</f>
        <v>24/04/2026 15:30:49</v>
      </c>
      <c r="B153" s="3" t="str">
        <f>dados_01!B153</f>
        <v>26</v>
      </c>
      <c r="C153" s="3" t="str">
        <f>IFERROR(__xludf.dummyfunction("JOIN("". "", ARRAYFORMULA(IFERROR(LEFT(SPLIT(dados_01!C153, "" ""), 1))))"),"L. G. D. S. M")</f>
        <v>L. G. D. S. M</v>
      </c>
      <c r="D153" s="3" t="str">
        <f>dados_01!D153</f>
        <v>27/07/2022</v>
      </c>
      <c r="E153" s="3" t="str">
        <f>CONCATENATE(LEFT(dados_01!E153,3),REPT("*",6),RIGHT(dados_01!E153,2))</f>
        <v>182******80</v>
      </c>
      <c r="F153" s="3" t="str">
        <f>dados_01!F153</f>
        <v>INFANTIL 3</v>
      </c>
      <c r="G153" s="3" t="str">
        <f>dados_01!G153</f>
        <v>CEMEI PROFESSORA LINDOMAR DOMINGOS DA SILVA ANJOS</v>
      </c>
      <c r="H153" s="3" t="str">
        <f>dados_01!H153</f>
        <v>REGIONAL 5</v>
      </c>
      <c r="I153" s="3">
        <f>dados_01!I153</f>
        <v>0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 spans="1:26">
      <c r="A154" s="3" t="str">
        <f>dados_01!A154</f>
        <v>13/05/2026 09:51:31</v>
      </c>
      <c r="B154" s="3" t="str">
        <f>dados_01!B154</f>
        <v>27</v>
      </c>
      <c r="C154" s="3" t="str">
        <f>IFERROR(__xludf.dummyfunction("JOIN("". "", ARRAYFORMULA(IFERROR(LEFT(SPLIT(dados_01!C154, "" ""), 1))))"),"A. T. M. D. N")</f>
        <v>A. T. M. D. N</v>
      </c>
      <c r="D154" s="3" t="str">
        <f>dados_01!D154</f>
        <v>23/02/2023</v>
      </c>
      <c r="E154" s="3" t="str">
        <f>CONCATENATE(LEFT(dados_01!E154,3),REPT("*",6),RIGHT(dados_01!E154,2))</f>
        <v>608******29</v>
      </c>
      <c r="F154" s="3" t="str">
        <f>dados_01!F154</f>
        <v>INFANTIL 3</v>
      </c>
      <c r="G154" s="3" t="str">
        <f>dados_01!G154</f>
        <v>CEMEI PROFESSORA LINDOMAR DOMINGOS DA SILVA ANJOS</v>
      </c>
      <c r="H154" s="3" t="str">
        <f>dados_01!H154</f>
        <v>REGIONAL 5</v>
      </c>
      <c r="I154" s="3">
        <f>dados_01!I154</f>
        <v>0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 spans="1:26">
      <c r="A155" s="3" t="str">
        <f>dados_01!A155</f>
        <v>23/05/2026 20:29:57</v>
      </c>
      <c r="B155" s="3" t="str">
        <f>dados_01!B155</f>
        <v>28</v>
      </c>
      <c r="C155" s="3" t="str">
        <f>IFERROR(__xludf.dummyfunction("JOIN("". "", ARRAYFORMULA(IFERROR(LEFT(SPLIT(dados_01!C155, "" ""), 1))))"),"H. M. A. T. M")</f>
        <v>H. M. A. T. M</v>
      </c>
      <c r="D155" s="3" t="str">
        <f>dados_01!D155</f>
        <v>03/11/2022</v>
      </c>
      <c r="E155" s="3" t="str">
        <f>CONCATENATE(LEFT(dados_01!E155,3),REPT("*",6),RIGHT(dados_01!E155,2))</f>
        <v>183******40</v>
      </c>
      <c r="F155" s="3" t="str">
        <f>dados_01!F155</f>
        <v>INFANTIL 3</v>
      </c>
      <c r="G155" s="3" t="str">
        <f>dados_01!G155</f>
        <v>CEMEI PROFESSORA LINDOMAR DOMINGOS DA SILVA ANJOS</v>
      </c>
      <c r="H155" s="3" t="str">
        <f>dados_01!H155</f>
        <v>REGIONAL 5</v>
      </c>
      <c r="I155" s="3">
        <f>dados_01!I155</f>
        <v>0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 spans="1:26">
      <c r="A156" s="3" t="str">
        <f>dados_01!A156</f>
        <v>01/06/2026 08:29:45</v>
      </c>
      <c r="B156" s="3" t="str">
        <f>dados_01!B156</f>
        <v>29</v>
      </c>
      <c r="C156" s="3" t="str">
        <f>IFERROR(__xludf.dummyfunction("JOIN("". "", ARRAYFORMULA(IFERROR(LEFT(SPLIT(dados_01!C156, "" ""), 1))))"),"B. D. D. A")</f>
        <v>B. D. D. A</v>
      </c>
      <c r="D156" s="3" t="str">
        <f>dados_01!D156</f>
        <v>29/07/2022</v>
      </c>
      <c r="E156" s="3" t="str">
        <f>CONCATENATE(LEFT(dados_01!E156,3),REPT("*",6),RIGHT(dados_01!E156,2))</f>
        <v>182******60</v>
      </c>
      <c r="F156" s="3" t="str">
        <f>dados_01!F156</f>
        <v>INFANTIL 3</v>
      </c>
      <c r="G156" s="3" t="str">
        <f>dados_01!G156</f>
        <v>CEMEI PROFESSORA LINDOMAR DOMINGOS DA SILVA ANJOS</v>
      </c>
      <c r="H156" s="3" t="str">
        <f>dados_01!H156</f>
        <v>REGIONAL 5</v>
      </c>
      <c r="I156" s="3">
        <f>dados_01!I156</f>
        <v>0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 spans="1:26">
      <c r="A157" s="3" t="str">
        <f>dados_01!A157</f>
        <v>08/06/2026 14:32:49</v>
      </c>
      <c r="B157" s="3" t="str">
        <f>dados_01!B157</f>
        <v>30</v>
      </c>
      <c r="C157" s="3" t="str">
        <f>IFERROR(__xludf.dummyfunction("JOIN("". "", ARRAYFORMULA(IFERROR(LEFT(SPLIT(dados_01!C157, "" ""), 1))))"),"E. T. S. d. M")</f>
        <v>E. T. S. d. M</v>
      </c>
      <c r="D157" s="3" t="str">
        <f>dados_01!D157</f>
        <v>17/05/2022</v>
      </c>
      <c r="E157" s="3" t="str">
        <f>CONCATENATE(LEFT(dados_01!E157,3),REPT("*",6),RIGHT(dados_01!E157,2))</f>
        <v>181******02</v>
      </c>
      <c r="F157" s="3" t="str">
        <f>dados_01!F157</f>
        <v>INFANTIL 3</v>
      </c>
      <c r="G157" s="3" t="str">
        <f>dados_01!G157</f>
        <v>CEMEI PROFESSORA LINDOMAR DOMINGOS DA SILVA ANJOS</v>
      </c>
      <c r="H157" s="3" t="str">
        <f>dados_01!H157</f>
        <v>REGIONAL 5</v>
      </c>
      <c r="I157" s="3">
        <f>dados_01!I157</f>
        <v>0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 spans="1:26">
      <c r="A158" s="3" t="str">
        <f>dados_01!A158</f>
        <v>11/06/2026 11:18:56</v>
      </c>
      <c r="B158" s="3" t="str">
        <f>dados_01!B158</f>
        <v>31</v>
      </c>
      <c r="C158" s="3" t="str">
        <f>IFERROR(__xludf.dummyfunction("JOIN("". "", ARRAYFORMULA(IFERROR(LEFT(SPLIT(dados_01!C158, "" ""), 1))))"),"A. C. D. S")</f>
        <v>A. C. D. S</v>
      </c>
      <c r="D158" s="3" t="str">
        <f>dados_01!D158</f>
        <v>12/01/2023</v>
      </c>
      <c r="E158" s="3" t="str">
        <f>CONCATENATE(LEFT(dados_01!E158,3),REPT("*",6),RIGHT(dados_01!E158,2))</f>
        <v>184******32</v>
      </c>
      <c r="F158" s="3" t="str">
        <f>dados_01!F158</f>
        <v>INFANTIL 3</v>
      </c>
      <c r="G158" s="3" t="str">
        <f>dados_01!G158</f>
        <v>CEMEI PROFESSORA LINDOMAR DOMINGOS DA SILVA ANJOS</v>
      </c>
      <c r="H158" s="3" t="str">
        <f>dados_01!H158</f>
        <v>REGIONAL 5</v>
      </c>
      <c r="I158" s="3">
        <f>dados_01!I158</f>
        <v>0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 spans="1:26">
      <c r="A159" s="3" t="str">
        <f>dados_01!A159</f>
        <v>08/07/2026 07:42:11</v>
      </c>
      <c r="B159" s="3" t="str">
        <f>dados_01!B159</f>
        <v>32</v>
      </c>
      <c r="C159" s="3" t="str">
        <f>IFERROR(__xludf.dummyfunction("JOIN("". "", ARRAYFORMULA(IFERROR(LEFT(SPLIT(dados_01!C159, "" ""), 1))))"),"R. R. S. d. N")</f>
        <v>R. R. S. d. N</v>
      </c>
      <c r="D159" s="3" t="str">
        <f>dados_01!D159</f>
        <v>13/05/2022</v>
      </c>
      <c r="E159" s="3" t="str">
        <f>CONCATENATE(LEFT(dados_01!E159,3),REPT("*",6),RIGHT(dados_01!E159,2))</f>
        <v>181******46</v>
      </c>
      <c r="F159" s="3" t="str">
        <f>dados_01!F159</f>
        <v>INFANTIL 3</v>
      </c>
      <c r="G159" s="3" t="str">
        <f>dados_01!G159</f>
        <v>CEMEI PROFESSORA LINDOMAR DOMINGOS DA SILVA ANJOS</v>
      </c>
      <c r="H159" s="3" t="str">
        <f>dados_01!H159</f>
        <v>REGIONAL 5</v>
      </c>
      <c r="I159" s="3">
        <f>dados_01!I159</f>
        <v>0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 spans="1:26">
      <c r="A160" s="3" t="str">
        <f>dados_01!A160</f>
        <v>18/07/2026 16:56:58</v>
      </c>
      <c r="B160" s="3" t="str">
        <f>dados_01!B160</f>
        <v>33</v>
      </c>
      <c r="C160" s="3" t="str">
        <f>IFERROR(__xludf.dummyfunction("JOIN("". "", ARRAYFORMULA(IFERROR(LEFT(SPLIT(dados_01!C160, "" ""), 1))))"),"s. h. g. d. s")</f>
        <v>s. h. g. d. s</v>
      </c>
      <c r="D160" s="3" t="str">
        <f>dados_01!D160</f>
        <v>21/12/2022</v>
      </c>
      <c r="E160" s="3" t="str">
        <f>CONCATENATE(LEFT(dados_01!E160,3),REPT("*",6),RIGHT(dados_01!E160,2))</f>
        <v>126******46</v>
      </c>
      <c r="F160" s="3" t="str">
        <f>dados_01!F160</f>
        <v>INFANTIL 3</v>
      </c>
      <c r="G160" s="3" t="str">
        <f>dados_01!G160</f>
        <v>CEMEI PROFESSORA LINDOMAR DOMINGOS DA SILVA ANJOS</v>
      </c>
      <c r="H160" s="3" t="str">
        <f>dados_01!H160</f>
        <v>REGIONAL 5</v>
      </c>
      <c r="I160" s="3">
        <f>dados_01!I160</f>
        <v>0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 spans="1:26">
      <c r="A161" s="3" t="str">
        <f>dados_01!A161</f>
        <v>04/08/2026 16:43:22</v>
      </c>
      <c r="B161" s="3" t="str">
        <f>dados_01!B161</f>
        <v>34</v>
      </c>
      <c r="C161" s="3" t="str">
        <f>IFERROR(__xludf.dummyfunction("JOIN("". "", ARRAYFORMULA(IFERROR(LEFT(SPLIT(dados_01!C161, "" ""), 1))))"),"B. L. S. D. A")</f>
        <v>B. L. S. D. A</v>
      </c>
      <c r="D161" s="3" t="str">
        <f>dados_01!D161</f>
        <v>24/09/2022</v>
      </c>
      <c r="E161" s="3" t="str">
        <f>CONCATENATE(LEFT(dados_01!E161,3),REPT("*",6),RIGHT(dados_01!E161,2))</f>
        <v>182******70</v>
      </c>
      <c r="F161" s="3" t="str">
        <f>dados_01!F161</f>
        <v>INFANTIL 3</v>
      </c>
      <c r="G161" s="3" t="str">
        <f>dados_01!G161</f>
        <v>CEMEI PROFESSORA LINDOMAR DOMINGOS DA SILVA ANJOS</v>
      </c>
      <c r="H161" s="3" t="str">
        <f>dados_01!H161</f>
        <v>REGIONAL 5</v>
      </c>
      <c r="I161" s="3">
        <f>dados_01!I161</f>
        <v>0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 spans="1:26">
      <c r="A162" s="3" t="str">
        <f>dados_01!A162</f>
        <v>26/08/2026 08:48:59</v>
      </c>
      <c r="B162" s="3" t="str">
        <f>dados_01!B162</f>
        <v>35</v>
      </c>
      <c r="C162" s="3" t="str">
        <f>IFERROR(__xludf.dummyfunction("JOIN("". "", ARRAYFORMULA(IFERROR(LEFT(SPLIT(dados_01!C162, "" ""), 1))))"),"L. O. D. S")</f>
        <v>L. O. D. S</v>
      </c>
      <c r="D162" s="3" t="str">
        <f>dados_01!D162</f>
        <v>23/08/2022</v>
      </c>
      <c r="E162" s="3" t="str">
        <f>CONCATENATE(LEFT(dados_01!E162,3),REPT("*",6),RIGHT(dados_01!E162,2))</f>
        <v>183******08</v>
      </c>
      <c r="F162" s="3" t="str">
        <f>dados_01!F162</f>
        <v>INFANTIL 3</v>
      </c>
      <c r="G162" s="3" t="str">
        <f>dados_01!G162</f>
        <v>CEMEI PROFESSORA LINDOMAR DOMINGOS DA SILVA ANJOS</v>
      </c>
      <c r="H162" s="3" t="str">
        <f>dados_01!H162</f>
        <v>REGIONAL 5</v>
      </c>
      <c r="I162" s="3">
        <f>dados_01!I162</f>
        <v>0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 spans="1:26">
      <c r="A163" s="3" t="str">
        <f>dados_01!A163</f>
        <v>28/08/2026 18:00:10</v>
      </c>
      <c r="B163" s="3" t="str">
        <f>dados_01!B163</f>
        <v>36</v>
      </c>
      <c r="C163" s="3" t="str">
        <f>IFERROR(__xludf.dummyfunction("JOIN("". "", ARRAYFORMULA(IFERROR(LEFT(SPLIT(dados_01!C163, "" ""), 1))))"),"M. C. F")</f>
        <v>M. C. F</v>
      </c>
      <c r="D163" s="3" t="str">
        <f>dados_01!D163</f>
        <v>10/09/2022</v>
      </c>
      <c r="E163" s="3" t="str">
        <f>CONCATENATE(LEFT(dados_01!E163,3),REPT("*",6),RIGHT(dados_01!E163,2))</f>
        <v>182******82</v>
      </c>
      <c r="F163" s="3" t="str">
        <f>dados_01!F163</f>
        <v>INFANTIL 3</v>
      </c>
      <c r="G163" s="3" t="str">
        <f>dados_01!G163</f>
        <v>CEMEI PROFESSORA LINDOMAR DOMINGOS DA SILVA ANJOS</v>
      </c>
      <c r="H163" s="3" t="str">
        <f>dados_01!H163</f>
        <v>REGIONAL 5</v>
      </c>
      <c r="I163" s="3">
        <f>dados_01!I163</f>
        <v>0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 spans="1:26">
      <c r="A164" s="3" t="str">
        <f>dados_01!A164</f>
        <v>09/09/2026 20:23:18</v>
      </c>
      <c r="B164" s="3" t="str">
        <f>dados_01!B164</f>
        <v>37</v>
      </c>
      <c r="C164" s="3" t="str">
        <f>IFERROR(__xludf.dummyfunction("JOIN("". "", ARRAYFORMULA(IFERROR(LEFT(SPLIT(dados_01!C164, "" ""), 1))))"),"Z. V. C. d. s")</f>
        <v>Z. V. C. d. s</v>
      </c>
      <c r="D164" s="3" t="str">
        <f>dados_01!D164</f>
        <v>19/10/2022</v>
      </c>
      <c r="E164" s="3" t="str">
        <f>CONCATENATE(LEFT(dados_01!E164,3),REPT("*",6),RIGHT(dados_01!E164,2))</f>
        <v>183******40</v>
      </c>
      <c r="F164" s="3" t="str">
        <f>dados_01!F164</f>
        <v>INFANTIL 3</v>
      </c>
      <c r="G164" s="3" t="str">
        <f>dados_01!G164</f>
        <v>CEMEI PROFESSORA LINDOMAR DOMINGOS DA SILVA ANJOS</v>
      </c>
      <c r="H164" s="3" t="str">
        <f>dados_01!H164</f>
        <v>REGIONAL 5</v>
      </c>
      <c r="I164" s="3">
        <f>dados_01!I164</f>
        <v>0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 spans="1:26">
      <c r="A165" s="3" t="str">
        <f>dados_01!A165</f>
        <v>24/02/2026 14:04:38</v>
      </c>
      <c r="B165" s="3" t="str">
        <f>dados_01!B165</f>
        <v>1</v>
      </c>
      <c r="C165" s="3" t="str">
        <f>IFERROR(__xludf.dummyfunction("JOIN("". "", ARRAYFORMULA(IFERROR(LEFT(SPLIT(dados_01!C165, "" ""), 1))))"),"J. M. F. D. S")</f>
        <v>J. M. F. D. S</v>
      </c>
      <c r="D165" s="3" t="str">
        <f>dados_01!D165</f>
        <v>01/11/2022</v>
      </c>
      <c r="E165" s="3" t="str">
        <f>CONCATENATE(LEFT(dados_01!E165,3),REPT("*",6),RIGHT(dados_01!E165,2))</f>
        <v>185******30</v>
      </c>
      <c r="F165" s="3" t="str">
        <f>dados_01!F165</f>
        <v>INFANTIL 3</v>
      </c>
      <c r="G165" s="3" t="str">
        <f>dados_01!G165</f>
        <v>CEMEI PROFESSORA MARLUCIA EVANGELISTA DE SOUZA</v>
      </c>
      <c r="H165" s="3" t="str">
        <f>dados_01!H165</f>
        <v>REGIONAL 6</v>
      </c>
      <c r="I165" s="3">
        <f>dados_01!I165</f>
        <v>0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 spans="1:26">
      <c r="A166" s="3" t="str">
        <f>dados_01!A166</f>
        <v>26/03/2026 11:14:13</v>
      </c>
      <c r="B166" s="3" t="str">
        <f>dados_01!B166</f>
        <v>2</v>
      </c>
      <c r="C166" s="3" t="str">
        <f>IFERROR(__xludf.dummyfunction("JOIN("". "", ARRAYFORMULA(IFERROR(LEFT(SPLIT(dados_01!C166, "" ""), 1))))"),"E. G. M. D. N")</f>
        <v>E. G. M. D. N</v>
      </c>
      <c r="D166" s="3" t="str">
        <f>dados_01!D166</f>
        <v>19/11/2022</v>
      </c>
      <c r="E166" s="3" t="str">
        <f>CONCATENATE(LEFT(dados_01!E166,3),REPT("*",6),RIGHT(dados_01!E166,2))</f>
        <v>183******10</v>
      </c>
      <c r="F166" s="3" t="str">
        <f>dados_01!F166</f>
        <v>INFANTIL 3</v>
      </c>
      <c r="G166" s="3" t="str">
        <f>dados_01!G166</f>
        <v>CEMEI PROFESSORA MARLUCIA EVANGELISTA DE SOUZA</v>
      </c>
      <c r="H166" s="3" t="str">
        <f>dados_01!H166</f>
        <v>REGIONAL 6</v>
      </c>
      <c r="I166" s="3">
        <f>dados_01!I166</f>
        <v>0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 spans="1:26">
      <c r="A167" s="3" t="str">
        <f>dados_01!A167</f>
        <v>27/03/2026 08:54:52</v>
      </c>
      <c r="B167" s="3" t="str">
        <f>dados_01!B167</f>
        <v>3</v>
      </c>
      <c r="C167" s="3" t="str">
        <f>IFERROR(__xludf.dummyfunction("JOIN("". "", ARRAYFORMULA(IFERROR(LEFT(SPLIT(dados_01!C167, "" ""), 1))))"),"M. H. D. S. L")</f>
        <v>M. H. D. S. L</v>
      </c>
      <c r="D167" s="3" t="str">
        <f>dados_01!D167</f>
        <v>11/05/2022</v>
      </c>
      <c r="E167" s="3" t="str">
        <f>CONCATENATE(LEFT(dados_01!E167,3),REPT("*",6),RIGHT(dados_01!E167,2))</f>
        <v>183******63</v>
      </c>
      <c r="F167" s="3" t="str">
        <f>dados_01!F167</f>
        <v>INFANTIL 3</v>
      </c>
      <c r="G167" s="3" t="str">
        <f>dados_01!G167</f>
        <v>CEMEI PROFESSORA MARLUCIA EVANGELISTA DE SOUZA</v>
      </c>
      <c r="H167" s="3" t="str">
        <f>dados_01!H167</f>
        <v>REGIONAL 6</v>
      </c>
      <c r="I167" s="3">
        <f>dados_01!I167</f>
        <v>0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 spans="1:26">
      <c r="A168" s="3" t="str">
        <f>dados_01!A168</f>
        <v>09/06/2026 13:23:26</v>
      </c>
      <c r="B168" s="3" t="str">
        <f>dados_01!B168</f>
        <v>4</v>
      </c>
      <c r="C168" s="3" t="str">
        <f>IFERROR(__xludf.dummyfunction("JOIN("". "", ARRAYFORMULA(IFERROR(LEFT(SPLIT(dados_01!C168, "" ""), 1))))"),"M. C. L. d. S")</f>
        <v>M. C. L. d. S</v>
      </c>
      <c r="D168" s="3" t="str">
        <f>dados_01!D168</f>
        <v>04/01/2023</v>
      </c>
      <c r="E168" s="3" t="str">
        <f>CONCATENATE(LEFT(dados_01!E168,3),REPT("*",6),RIGHT(dados_01!E168,2))</f>
        <v>184******58</v>
      </c>
      <c r="F168" s="3" t="str">
        <f>dados_01!F168</f>
        <v>INFANTIL 3</v>
      </c>
      <c r="G168" s="3" t="str">
        <f>dados_01!G168</f>
        <v>CEMEI PROFESSORA MARLUCIA EVANGELISTA DE SOUZA</v>
      </c>
      <c r="H168" s="3" t="str">
        <f>dados_01!H168</f>
        <v>REGIONAL 6</v>
      </c>
      <c r="I168" s="3">
        <f>dados_01!I168</f>
        <v>0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 spans="1:26">
      <c r="A169" s="3" t="str">
        <f>dados_01!A169</f>
        <v>25/08/2026 12:01:52</v>
      </c>
      <c r="B169" s="3" t="str">
        <f>dados_01!B169</f>
        <v>5</v>
      </c>
      <c r="C169" s="3" t="str">
        <f>IFERROR(__xludf.dummyfunction("JOIN("". "", ARRAYFORMULA(IFERROR(LEFT(SPLIT(dados_01!C169, "" ""), 1))))"),"M. J. d. S. f")</f>
        <v>M. J. d. S. f</v>
      </c>
      <c r="D169" s="3" t="str">
        <f>dados_01!D169</f>
        <v>17/08/2022</v>
      </c>
      <c r="E169" s="3" t="str">
        <f>CONCATENATE(LEFT(dados_01!E169,3),REPT("*",6),RIGHT(dados_01!E169,2))</f>
        <v>183******07</v>
      </c>
      <c r="F169" s="3" t="str">
        <f>dados_01!F169</f>
        <v>INFANTIL 3</v>
      </c>
      <c r="G169" s="3" t="str">
        <f>dados_01!G169</f>
        <v>CEMEI PROFESSORA MARLUCIA EVANGELISTA DE SOUZA</v>
      </c>
      <c r="H169" s="3" t="str">
        <f>dados_01!H169</f>
        <v>REGIONAL 6</v>
      </c>
      <c r="I169" s="3">
        <f>dados_01!I169</f>
        <v>0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 spans="1:26">
      <c r="A170" s="3" t="str">
        <f>dados_01!A170</f>
        <v>31/03/2026 08:33:16</v>
      </c>
      <c r="B170" s="3" t="str">
        <f>dados_01!B170</f>
        <v>1</v>
      </c>
      <c r="C170" s="3" t="str">
        <f>IFERROR(__xludf.dummyfunction("JOIN("". "", ARRAYFORMULA(IFERROR(LEFT(SPLIT(dados_01!C170, "" ""), 1))))"),"A. G. B. D. N")</f>
        <v>A. G. B. D. N</v>
      </c>
      <c r="D170" s="3" t="str">
        <f>dados_01!D170</f>
        <v>03/02/2023</v>
      </c>
      <c r="E170" s="3" t="str">
        <f>CONCATENATE(LEFT(dados_01!E170,3),REPT("*",6),RIGHT(dados_01!E170,2))</f>
        <v>184******02</v>
      </c>
      <c r="F170" s="3" t="str">
        <f>dados_01!F170</f>
        <v>INFANTIL 3</v>
      </c>
      <c r="G170" s="3" t="str">
        <f>dados_01!G170</f>
        <v>CEMEI PROFESSORA MARLUCIA EVANGELISTA DE SOUZA</v>
      </c>
      <c r="H170" s="3" t="str">
        <f>dados_01!H170</f>
        <v>REGIONAL 6</v>
      </c>
      <c r="I170" s="3">
        <f>dados_01!I170</f>
        <v>0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 spans="1:26">
      <c r="A171" s="3" t="str">
        <f>dados_01!A171</f>
        <v>17/03/2026 11:53:45</v>
      </c>
      <c r="B171" s="3" t="str">
        <f>dados_01!B171</f>
        <v>1</v>
      </c>
      <c r="C171" s="3" t="str">
        <f>IFERROR(__xludf.dummyfunction("JOIN("". "", ARRAYFORMULA(IFERROR(LEFT(SPLIT(dados_01!C171, "" ""), 1))))"),"S. B. D. S")</f>
        <v>S. B. D. S</v>
      </c>
      <c r="D171" s="3" t="str">
        <f>dados_01!D171</f>
        <v>09/04/2025</v>
      </c>
      <c r="E171" s="3" t="str">
        <f>CONCATENATE(LEFT(dados_01!E171,3),REPT("*",6),RIGHT(dados_01!E171,2))</f>
        <v>005******50</v>
      </c>
      <c r="F171" s="3" t="str">
        <f>dados_01!F171</f>
        <v>INFANTIL 1</v>
      </c>
      <c r="G171" s="3" t="str">
        <f>dados_01!G171</f>
        <v>CEMEI PROFESSORA RAKELLY NOGUEIRA DO NASCIMENTO</v>
      </c>
      <c r="H171" s="3" t="str">
        <f>dados_01!H171</f>
        <v>REGIONAL 6</v>
      </c>
      <c r="I171" s="3">
        <f>dados_01!I171</f>
        <v>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 spans="1:26">
      <c r="A172" s="3" t="str">
        <f>dados_01!A172</f>
        <v>22/05/2026 09:50:12</v>
      </c>
      <c r="B172" s="3" t="str">
        <f>dados_01!B172</f>
        <v>2</v>
      </c>
      <c r="C172" s="3" t="str">
        <f>IFERROR(__xludf.dummyfunction("JOIN("". "", ARRAYFORMULA(IFERROR(LEFT(SPLIT(dados_01!C172, "" ""), 1))))"),"T. V. G. d. S")</f>
        <v>T. V. G. d. S</v>
      </c>
      <c r="D172" s="3" t="str">
        <f>dados_01!D172</f>
        <v>28/06/2025</v>
      </c>
      <c r="E172" s="3" t="str">
        <f>CONCATENATE(LEFT(dados_01!E172,3),REPT("*",6),RIGHT(dados_01!E172,2))</f>
        <v>006******61</v>
      </c>
      <c r="F172" s="3" t="str">
        <f>dados_01!F172</f>
        <v>INFANTIL 1</v>
      </c>
      <c r="G172" s="3" t="str">
        <f>dados_01!G172</f>
        <v>CEMEI PROFESSORA RAKELLY NOGUEIRA DO NASCIMENTO</v>
      </c>
      <c r="H172" s="3" t="str">
        <f>dados_01!H172</f>
        <v>REGIONAL 6</v>
      </c>
      <c r="I172" s="3">
        <f>dados_01!I172</f>
        <v>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 spans="1:26">
      <c r="A173" s="3" t="str">
        <f>dados_01!A173</f>
        <v>02/09/2026 08:28:02</v>
      </c>
      <c r="B173" s="3" t="str">
        <f>dados_01!B173</f>
        <v>3</v>
      </c>
      <c r="C173" s="3" t="str">
        <f>IFERROR(__xludf.dummyfunction("JOIN("". "", ARRAYFORMULA(IFERROR(LEFT(SPLIT(dados_01!C173, "" ""), 1))))"),"M. M. d. S. A")</f>
        <v>M. M. d. S. A</v>
      </c>
      <c r="D173" s="3" t="str">
        <f>dados_01!D173</f>
        <v>22/04/2025</v>
      </c>
      <c r="E173" s="3" t="str">
        <f>CONCATENATE(LEFT(dados_01!E173,3),REPT("*",6),RIGHT(dados_01!E173,2))</f>
        <v>006******96</v>
      </c>
      <c r="F173" s="3" t="str">
        <f>dados_01!F173</f>
        <v>INFANTIL 1</v>
      </c>
      <c r="G173" s="3" t="str">
        <f>dados_01!G173</f>
        <v>CEMEI PROFESSORA RAKELLY NOGUEIRA DO NASCIMENTO</v>
      </c>
      <c r="H173" s="3" t="str">
        <f>dados_01!H173</f>
        <v>REGIONAL 6</v>
      </c>
      <c r="I173" s="3">
        <f>dados_01!I173</f>
        <v>0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 spans="1:26">
      <c r="A174" s="3" t="str">
        <f>dados_01!A174</f>
        <v>22/09/2026 12:40:29</v>
      </c>
      <c r="B174" s="3" t="str">
        <f>dados_01!B174</f>
        <v>4</v>
      </c>
      <c r="C174" s="3" t="str">
        <f>IFERROR(__xludf.dummyfunction("JOIN("". "", ARRAYFORMULA(IFERROR(LEFT(SPLIT(dados_01!C174, "" ""), 1))))"),"D. V. F. d. M. A")</f>
        <v>D. V. F. d. M. A</v>
      </c>
      <c r="D174" s="3" t="str">
        <f>dados_01!D174</f>
        <v>03/07/2025</v>
      </c>
      <c r="E174" s="3" t="str">
        <f>CONCATENATE(LEFT(dados_01!E174,3),REPT("*",6),RIGHT(dados_01!E174,2))</f>
        <v>006******85</v>
      </c>
      <c r="F174" s="3" t="str">
        <f>dados_01!F174</f>
        <v>INFANTIL 1</v>
      </c>
      <c r="G174" s="3" t="str">
        <f>dados_01!G174</f>
        <v>CEMEI PROFESSORA RAKELLY NOGUEIRA DO NASCIMENTO</v>
      </c>
      <c r="H174" s="3" t="str">
        <f>dados_01!H174</f>
        <v>REGIONAL 6</v>
      </c>
      <c r="I174" s="3">
        <f>dados_01!I174</f>
        <v>0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 spans="1:26">
      <c r="A175" s="3" t="str">
        <f>dados_01!A175</f>
        <v>24/09/2026 07:34:28</v>
      </c>
      <c r="B175" s="3" t="str">
        <f>dados_01!B175</f>
        <v>5</v>
      </c>
      <c r="C175" s="3" t="str">
        <f>IFERROR(__xludf.dummyfunction("JOIN("". "", ARRAYFORMULA(IFERROR(LEFT(SPLIT(dados_01!C175, "" ""), 1))))"),"A. L. S. d. C")</f>
        <v>A. L. S. d. C</v>
      </c>
      <c r="D175" s="3" t="str">
        <f>dados_01!D175</f>
        <v>10/09/2024</v>
      </c>
      <c r="E175" s="3" t="str">
        <f>CONCATENATE(LEFT(dados_01!E175,3),REPT("*",6),RIGHT(dados_01!E175,2))</f>
        <v>004******78</v>
      </c>
      <c r="F175" s="3" t="str">
        <f>dados_01!F175</f>
        <v>INFANTIL 1</v>
      </c>
      <c r="G175" s="3" t="str">
        <f>dados_01!G175</f>
        <v>CEMEI PROFESSORA RAKELLY NOGUEIRA DO NASCIMENTO</v>
      </c>
      <c r="H175" s="3" t="str">
        <f>dados_01!H175</f>
        <v>REGIONAL 6</v>
      </c>
      <c r="I175" s="3">
        <f>dados_01!I175</f>
        <v>0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 spans="1:26">
      <c r="A176" s="3" t="str">
        <f>dados_01!A176</f>
        <v>24/09/2026 10:12:12</v>
      </c>
      <c r="B176" s="3" t="str">
        <f>dados_01!B176</f>
        <v>6</v>
      </c>
      <c r="C176" s="3" t="str">
        <f>IFERROR(__xludf.dummyfunction("JOIN("". "", ARRAYFORMULA(IFERROR(LEFT(SPLIT(dados_01!C176, "" ""), 1))))"),"I. S. A. N")</f>
        <v>I. S. A. N</v>
      </c>
      <c r="D176" s="3" t="str">
        <f>dados_01!D176</f>
        <v>01/10/2024</v>
      </c>
      <c r="E176" s="3" t="str">
        <f>CONCATENATE(LEFT(dados_01!E176,3),REPT("*",6),RIGHT(dados_01!E176,2))</f>
        <v>004******12</v>
      </c>
      <c r="F176" s="3" t="str">
        <f>dados_01!F176</f>
        <v>INFANTIL 1</v>
      </c>
      <c r="G176" s="3" t="str">
        <f>dados_01!G176</f>
        <v>CEMEI PROFESSORA RAKELLY NOGUEIRA DO NASCIMENTO</v>
      </c>
      <c r="H176" s="3" t="str">
        <f>dados_01!H176</f>
        <v>REGIONAL 6</v>
      </c>
      <c r="I176" s="3">
        <f>dados_01!I176</f>
        <v>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 spans="1:26">
      <c r="A177" s="3" t="str">
        <f>dados_01!A177</f>
        <v>27/07/2026 10:15:30</v>
      </c>
      <c r="B177" s="3" t="str">
        <f>dados_01!B177</f>
        <v>1</v>
      </c>
      <c r="C177" s="3" t="str">
        <f>IFERROR(__xludf.dummyfunction("JOIN("". "", ARRAYFORMULA(IFERROR(LEFT(SPLIT(dados_01!C177, "" ""), 1))))"),"R. S. S. D. S")</f>
        <v>R. S. S. D. S</v>
      </c>
      <c r="D177" s="3" t="str">
        <f>dados_01!D177</f>
        <v>24/09/2023</v>
      </c>
      <c r="E177" s="3" t="str">
        <f>CONCATENATE(LEFT(dados_01!E177,3),REPT("*",6),RIGHT(dados_01!E177,2))</f>
        <v>000******67</v>
      </c>
      <c r="F177" s="3" t="str">
        <f>dados_01!F177</f>
        <v>INFANTIL 2</v>
      </c>
      <c r="G177" s="3" t="str">
        <f>dados_01!G177</f>
        <v>CEMEI PROFESSORA RAKELLY NOGUEIRA DO NASCIMENTO</v>
      </c>
      <c r="H177" s="3" t="str">
        <f>dados_01!H177</f>
        <v>REGIONAL 6</v>
      </c>
      <c r="I177" s="3">
        <f>dados_01!I177</f>
        <v>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 spans="1:26">
      <c r="A178" s="3" t="str">
        <f>dados_01!A178</f>
        <v>07/08/2026 13:26:09</v>
      </c>
      <c r="B178" s="3" t="str">
        <f>dados_01!B178</f>
        <v>2</v>
      </c>
      <c r="C178" s="3" t="str">
        <f>IFERROR(__xludf.dummyfunction("JOIN("". "", ARRAYFORMULA(IFERROR(LEFT(SPLIT(dados_01!C178, "" ""), 1))))"),"D. S. C")</f>
        <v>D. S. C</v>
      </c>
      <c r="D178" s="3" t="str">
        <f>dados_01!D178</f>
        <v>08/02/2024</v>
      </c>
      <c r="E178" s="3" t="str">
        <f>CONCATENATE(LEFT(dados_01!E178,3),REPT("*",6),RIGHT(dados_01!E178,2))</f>
        <v>005******31</v>
      </c>
      <c r="F178" s="3" t="str">
        <f>dados_01!F178</f>
        <v>INFANTIL 2</v>
      </c>
      <c r="G178" s="3" t="str">
        <f>dados_01!G178</f>
        <v>CEMEI PROFESSORA RAKELLY NOGUEIRA DO NASCIMENTO</v>
      </c>
      <c r="H178" s="3" t="str">
        <f>dados_01!H178</f>
        <v>REGIONAL 6</v>
      </c>
      <c r="I178" s="3">
        <f>dados_01!I178</f>
        <v>0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 spans="1:26">
      <c r="A179" s="3" t="str">
        <f>dados_01!A179</f>
        <v>10/09/2026 11:00:55</v>
      </c>
      <c r="B179" s="3" t="str">
        <f>dados_01!B179</f>
        <v>3</v>
      </c>
      <c r="C179" s="3" t="str">
        <f>IFERROR(__xludf.dummyfunction("JOIN("". "", ARRAYFORMULA(IFERROR(LEFT(SPLIT(dados_01!C179, "" ""), 1))))"),"H. S. d. S")</f>
        <v>H. S. d. S</v>
      </c>
      <c r="D179" s="3" t="str">
        <f>dados_01!D179</f>
        <v>29/07/2023</v>
      </c>
      <c r="E179" s="3" t="str">
        <f>CONCATENATE(LEFT(dados_01!E179,3),REPT("*",6),RIGHT(dados_01!E179,2))</f>
        <v>186******06</v>
      </c>
      <c r="F179" s="3" t="str">
        <f>dados_01!F179</f>
        <v>INFANTIL 2</v>
      </c>
      <c r="G179" s="3" t="str">
        <f>dados_01!G179</f>
        <v>CEMEI PROFESSORA RAKELLY NOGUEIRA DO NASCIMENTO</v>
      </c>
      <c r="H179" s="3" t="str">
        <f>dados_01!H179</f>
        <v>REGIONAL 6</v>
      </c>
      <c r="I179" s="3">
        <f>dados_01!I179</f>
        <v>0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 spans="1:26">
      <c r="A180" s="3" t="str">
        <f>dados_01!A180</f>
        <v>02/02/2026 15:26:58</v>
      </c>
      <c r="B180" s="3" t="str">
        <f>dados_01!B180</f>
        <v>1</v>
      </c>
      <c r="C180" s="3" t="str">
        <f>IFERROR(__xludf.dummyfunction("JOIN("". "", ARRAYFORMULA(IFERROR(LEFT(SPLIT(dados_01!C180, "" ""), 1))))"),"D. L. D. A")</f>
        <v>D. L. D. A</v>
      </c>
      <c r="D180" s="3" t="str">
        <f>dados_01!D180</f>
        <v>14/05/2022</v>
      </c>
      <c r="E180" s="3" t="str">
        <f>CONCATENATE(LEFT(dados_01!E180,3),REPT("*",6),RIGHT(dados_01!E180,2))</f>
        <v>181******32</v>
      </c>
      <c r="F180" s="3" t="str">
        <f>dados_01!F180</f>
        <v>INFANTIL 3</v>
      </c>
      <c r="G180" s="3" t="str">
        <f>dados_01!G180</f>
        <v>CEMEI SANTO AMARO</v>
      </c>
      <c r="H180" s="3" t="str">
        <f>dados_01!H180</f>
        <v>REGIONAL 1</v>
      </c>
      <c r="I180" s="3">
        <f>dados_01!I180</f>
        <v>0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 spans="1:26">
      <c r="A181" s="3" t="str">
        <f>dados_01!A181</f>
        <v>10/02/2026 08:09:45</v>
      </c>
      <c r="B181" s="3" t="str">
        <f>dados_01!B181</f>
        <v>2</v>
      </c>
      <c r="C181" s="3" t="str">
        <f>IFERROR(__xludf.dummyfunction("JOIN("". "", ARRAYFORMULA(IFERROR(LEFT(SPLIT(dados_01!C181, "" ""), 1))))"),"E. S. F. D. S")</f>
        <v>E. S. F. D. S</v>
      </c>
      <c r="D181" s="3" t="str">
        <f>dados_01!D181</f>
        <v>16/05/2022</v>
      </c>
      <c r="E181" s="3" t="str">
        <f>CONCATENATE(LEFT(dados_01!E181,3),REPT("*",6),RIGHT(dados_01!E181,2))</f>
        <v>181******13</v>
      </c>
      <c r="F181" s="3" t="str">
        <f>dados_01!F181</f>
        <v>INFANTIL 3</v>
      </c>
      <c r="G181" s="3" t="str">
        <f>dados_01!G181</f>
        <v>CEMEI SANTO AMARO</v>
      </c>
      <c r="H181" s="3" t="str">
        <f>dados_01!H181</f>
        <v>REGIONAL 1</v>
      </c>
      <c r="I181" s="3">
        <f>dados_01!I181</f>
        <v>0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 spans="1:26">
      <c r="A182" s="3" t="str">
        <f>dados_01!A182</f>
        <v>24/02/2026 18:34:28</v>
      </c>
      <c r="B182" s="3" t="str">
        <f>dados_01!B182</f>
        <v>3</v>
      </c>
      <c r="C182" s="3" t="str">
        <f>IFERROR(__xludf.dummyfunction("JOIN("". "", ARRAYFORMULA(IFERROR(LEFT(SPLIT(dados_01!C182, "" ""), 1))))"),"T. F. L. D. S")</f>
        <v>T. F. L. D. S</v>
      </c>
      <c r="D182" s="3" t="str">
        <f>dados_01!D182</f>
        <v>12/04/2022</v>
      </c>
      <c r="E182" s="3" t="str">
        <f>CONCATENATE(LEFT(dados_01!E182,3),REPT("*",6),RIGHT(dados_01!E182,2))</f>
        <v>181******81</v>
      </c>
      <c r="F182" s="3" t="str">
        <f>dados_01!F182</f>
        <v>INFANTIL 3</v>
      </c>
      <c r="G182" s="3" t="str">
        <f>dados_01!G182</f>
        <v>CEMEI SANTO AMARO</v>
      </c>
      <c r="H182" s="3" t="str">
        <f>dados_01!H182</f>
        <v>REGIONAL 1</v>
      </c>
      <c r="I182" s="3">
        <f>dados_01!I182</f>
        <v>0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 spans="1:26">
      <c r="A183" s="3" t="str">
        <f>dados_01!A183</f>
        <v>05/08/2026 11:19:31</v>
      </c>
      <c r="B183" s="3" t="str">
        <f>dados_01!B183</f>
        <v>4</v>
      </c>
      <c r="C183" s="3" t="str">
        <f>IFERROR(__xludf.dummyfunction("JOIN("". "", ARRAYFORMULA(IFERROR(LEFT(SPLIT(dados_01!C183, "" ""), 1))))"),"I. G. D. S")</f>
        <v>I. G. D. S</v>
      </c>
      <c r="D183" s="3" t="str">
        <f>dados_01!D183</f>
        <v>23/04/2022</v>
      </c>
      <c r="E183" s="3" t="str">
        <f>CONCATENATE(LEFT(dados_01!E183,3),REPT("*",6),RIGHT(dados_01!E183,2))</f>
        <v>182******13</v>
      </c>
      <c r="F183" s="3" t="str">
        <f>dados_01!F183</f>
        <v>INFANTIL 3</v>
      </c>
      <c r="G183" s="3" t="str">
        <f>dados_01!G183</f>
        <v>CEMEI SANTO AMARO</v>
      </c>
      <c r="H183" s="3" t="str">
        <f>dados_01!H183</f>
        <v>REGIONAL 1</v>
      </c>
      <c r="I183" s="3">
        <f>dados_01!I183</f>
        <v>0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 spans="1:26">
      <c r="A184" s="3" t="str">
        <f>dados_01!A184</f>
        <v>21/09/2026 11:12:08</v>
      </c>
      <c r="B184" s="3" t="str">
        <f>dados_01!B184</f>
        <v>5</v>
      </c>
      <c r="C184" s="3" t="str">
        <f>IFERROR(__xludf.dummyfunction("JOIN("". "", ARRAYFORMULA(IFERROR(LEFT(SPLIT(dados_01!C184, "" ""), 1))))"),"H. B. B. d. S. S")</f>
        <v>H. B. B. d. S. S</v>
      </c>
      <c r="D184" s="3" t="str">
        <f>dados_01!D184</f>
        <v>18/10/2022</v>
      </c>
      <c r="E184" s="3" t="str">
        <f>CONCATENATE(LEFT(dados_01!E184,3),REPT("*",6),RIGHT(dados_01!E184,2))</f>
        <v>183******59</v>
      </c>
      <c r="F184" s="3" t="str">
        <f>dados_01!F184</f>
        <v>INFANTIL 3</v>
      </c>
      <c r="G184" s="3" t="str">
        <f>dados_01!G184</f>
        <v>CEMEI SANTO AMARO</v>
      </c>
      <c r="H184" s="3" t="str">
        <f>dados_01!H184</f>
        <v>REGIONAL 1</v>
      </c>
      <c r="I184" s="3">
        <f>dados_01!I184</f>
        <v>0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 spans="1:26">
      <c r="A185" s="3" t="str">
        <f>dados_01!A185</f>
        <v>13/05/2026 19:48:23</v>
      </c>
      <c r="B185" s="3" t="str">
        <f>dados_01!B185</f>
        <v>1</v>
      </c>
      <c r="C185" s="3" t="str">
        <f>IFERROR(__xludf.dummyfunction("JOIN("". "", ARRAYFORMULA(IFERROR(LEFT(SPLIT(dados_01!C185, "" ""), 1))))"),"H. V. S. R")</f>
        <v>H. V. S. R</v>
      </c>
      <c r="D185" s="3" t="str">
        <f>dados_01!D185</f>
        <v>09/06/2022</v>
      </c>
      <c r="E185" s="3" t="str">
        <f>CONCATENATE(LEFT(dados_01!E185,3),REPT("*",6),RIGHT(dados_01!E185,2))</f>
        <v>181******04</v>
      </c>
      <c r="F185" s="3" t="str">
        <f>dados_01!F185</f>
        <v>INFANTIL 3</v>
      </c>
      <c r="G185" s="3" t="str">
        <f>dados_01!G185</f>
        <v>CEMEI SANTO AMARO</v>
      </c>
      <c r="H185" s="3" t="str">
        <f>dados_01!H185</f>
        <v>REGIONAL 1</v>
      </c>
      <c r="I185" s="3">
        <f>dados_01!I185</f>
        <v>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 spans="1:26">
      <c r="A186" s="3" t="str">
        <f>dados_01!A186</f>
        <v>20/05/2026 10:33:36</v>
      </c>
      <c r="B186" s="3" t="str">
        <f>dados_01!B186</f>
        <v>2</v>
      </c>
      <c r="C186" s="3" t="str">
        <f>IFERROR(__xludf.dummyfunction("JOIN("". "", ARRAYFORMULA(IFERROR(LEFT(SPLIT(dados_01!C186, "" ""), 1))))"),"B. C. D. I. G")</f>
        <v>B. C. D. I. G</v>
      </c>
      <c r="D186" s="3" t="str">
        <f>dados_01!D186</f>
        <v>02/11/2022</v>
      </c>
      <c r="E186" s="3" t="str">
        <f>CONCATENATE(LEFT(dados_01!E186,3),REPT("*",6),RIGHT(dados_01!E186,2))</f>
        <v>183******74</v>
      </c>
      <c r="F186" s="3" t="str">
        <f>dados_01!F186</f>
        <v>INFANTIL 3</v>
      </c>
      <c r="G186" s="3" t="str">
        <f>dados_01!G186</f>
        <v>CEMEI SANTO AMARO</v>
      </c>
      <c r="H186" s="3" t="str">
        <f>dados_01!H186</f>
        <v>REGIONAL 1</v>
      </c>
      <c r="I186" s="3">
        <f>dados_01!I186</f>
        <v>0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 spans="1:26">
      <c r="A187" s="3" t="str">
        <f>dados_01!A187</f>
        <v>25/05/2026 08:40:05</v>
      </c>
      <c r="B187" s="3" t="str">
        <f>dados_01!B187</f>
        <v>3</v>
      </c>
      <c r="C187" s="3" t="str">
        <f>IFERROR(__xludf.dummyfunction("JOIN("". "", ARRAYFORMULA(IFERROR(LEFT(SPLIT(dados_01!C187, "" ""), 1))))"),"E. M. d. M. p")</f>
        <v>E. M. d. M. p</v>
      </c>
      <c r="D187" s="3" t="str">
        <f>dados_01!D187</f>
        <v>25/02/2023</v>
      </c>
      <c r="E187" s="3" t="str">
        <f>CONCATENATE(LEFT(dados_01!E187,3),REPT("*",6),RIGHT(dados_01!E187,2))</f>
        <v>184******28</v>
      </c>
      <c r="F187" s="3" t="str">
        <f>dados_01!F187</f>
        <v>INFANTIL 3</v>
      </c>
      <c r="G187" s="3" t="str">
        <f>dados_01!G187</f>
        <v>CEMEI SANTO AMARO</v>
      </c>
      <c r="H187" s="3" t="str">
        <f>dados_01!H187</f>
        <v>REGIONAL 1</v>
      </c>
      <c r="I187" s="3">
        <f>dados_01!I187</f>
        <v>0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 spans="1:26">
      <c r="A188" s="3" t="str">
        <f>dados_01!A188</f>
        <v>10/06/2026 07:16:18</v>
      </c>
      <c r="B188" s="3" t="str">
        <f>dados_01!B188</f>
        <v>4</v>
      </c>
      <c r="C188" s="3" t="str">
        <f>IFERROR(__xludf.dummyfunction("JOIN("". "", ARRAYFORMULA(IFERROR(LEFT(SPLIT(dados_01!C188, "" ""), 1))))"),"A. F. B. R")</f>
        <v>A. F. B. R</v>
      </c>
      <c r="D188" s="3" t="str">
        <f>dados_01!D188</f>
        <v>17/02/2023</v>
      </c>
      <c r="E188" s="3" t="str">
        <f>CONCATENATE(LEFT(dados_01!E188,3),REPT("*",6),RIGHT(dados_01!E188,2))</f>
        <v>184******12</v>
      </c>
      <c r="F188" s="3" t="str">
        <f>dados_01!F188</f>
        <v>INFANTIL 3</v>
      </c>
      <c r="G188" s="3" t="str">
        <f>dados_01!G188</f>
        <v>CEMEI SANTO AMARO</v>
      </c>
      <c r="H188" s="3" t="str">
        <f>dados_01!H188</f>
        <v>REGIONAL 1</v>
      </c>
      <c r="I188" s="3">
        <f>dados_01!I188</f>
        <v>0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 spans="1:26">
      <c r="A189" s="3" t="str">
        <f>dados_01!A189</f>
        <v>28/01/2026 21:43:18</v>
      </c>
      <c r="B189" s="3" t="str">
        <f>dados_01!B189</f>
        <v>1</v>
      </c>
      <c r="C189" s="3" t="str">
        <f>IFERROR(__xludf.dummyfunction("JOIN("". "", ARRAYFORMULA(IFERROR(LEFT(SPLIT(dados_01!C189, "" ""), 1))))"),"A. D. D. O. A")</f>
        <v>A. D. D. O. A</v>
      </c>
      <c r="D189" s="3" t="str">
        <f>dados_01!D189</f>
        <v>10/10/2024</v>
      </c>
      <c r="E189" s="3" t="str">
        <f>CONCATENATE(LEFT(dados_01!E189,3),REPT("*",6),RIGHT(dados_01!E189,2))</f>
        <v>005******63</v>
      </c>
      <c r="F189" s="3" t="str">
        <f>dados_01!F189</f>
        <v>INFANTIL 1</v>
      </c>
      <c r="G189" s="3" t="str">
        <f>dados_01!G189</f>
        <v>CEMEI SILVIA MARIA DE OLIVEIRA</v>
      </c>
      <c r="H189" s="3" t="str">
        <f>dados_01!H189</f>
        <v>REGIONAL 5</v>
      </c>
      <c r="I189" s="3">
        <f>dados_01!I189</f>
        <v>0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 spans="1:26">
      <c r="A190" s="3" t="str">
        <f>dados_01!A190</f>
        <v>17/07/2026 13:01:30</v>
      </c>
      <c r="B190" s="3" t="str">
        <f>dados_01!B190</f>
        <v>2</v>
      </c>
      <c r="C190" s="3" t="str">
        <f>IFERROR(__xludf.dummyfunction("JOIN("". "", ARRAYFORMULA(IFERROR(LEFT(SPLIT(dados_01!C190, "" ""), 1))))"),"L. F. S. d. l")</f>
        <v>L. F. S. d. l</v>
      </c>
      <c r="D190" s="3" t="str">
        <f>dados_01!D190</f>
        <v>09/11/2025</v>
      </c>
      <c r="E190" s="3" t="str">
        <f>CONCATENATE(LEFT(dados_01!E190,3),REPT("*",6),RIGHT(dados_01!E190,2))</f>
        <v>021******91</v>
      </c>
      <c r="F190" s="3" t="str">
        <f>dados_01!F190</f>
        <v>INFANTIL 1</v>
      </c>
      <c r="G190" s="3" t="str">
        <f>dados_01!G190</f>
        <v>CEMEI SILVIA MARIA DE OLIVEIRA</v>
      </c>
      <c r="H190" s="3" t="str">
        <f>dados_01!H190</f>
        <v>REGIONAL 5</v>
      </c>
      <c r="I190" s="3">
        <f>dados_01!I190</f>
        <v>0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 spans="1:26">
      <c r="A191" s="3" t="str">
        <f>dados_01!A191</f>
        <v>17/07/2026 13:07:15</v>
      </c>
      <c r="B191" s="3" t="str">
        <f>dados_01!B191</f>
        <v>3</v>
      </c>
      <c r="C191" s="3" t="str">
        <f>IFERROR(__xludf.dummyfunction("JOIN("". "", ARRAYFORMULA(IFERROR(LEFT(SPLIT(dados_01!C191, "" ""), 1))))"),"L. N. s. d. l")</f>
        <v>L. N. s. d. l</v>
      </c>
      <c r="D191" s="3" t="str">
        <f>dados_01!D191</f>
        <v>20/10/2024</v>
      </c>
      <c r="E191" s="3" t="str">
        <f>CONCATENATE(LEFT(dados_01!E191,3),REPT("*",6),RIGHT(dados_01!E191,2))</f>
        <v>005******50</v>
      </c>
      <c r="F191" s="3" t="str">
        <f>dados_01!F191</f>
        <v>INFANTIL 1</v>
      </c>
      <c r="G191" s="3" t="str">
        <f>dados_01!G191</f>
        <v>CEMEI SILVIA MARIA DE OLIVEIRA</v>
      </c>
      <c r="H191" s="3" t="str">
        <f>dados_01!H191</f>
        <v>REGIONAL 5</v>
      </c>
      <c r="I191" s="3">
        <f>dados_01!I191</f>
        <v>0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 spans="1:26">
      <c r="A192" s="3" t="str">
        <f>dados_01!A192</f>
        <v>09/07/2026 10:26:31</v>
      </c>
      <c r="B192" s="3" t="str">
        <f>dados_01!B192</f>
        <v>1</v>
      </c>
      <c r="C192" s="3" t="str">
        <f>IFERROR(__xludf.dummyfunction("JOIN("". "", ARRAYFORMULA(IFERROR(LEFT(SPLIT(dados_01!C192, "" ""), 1))))"),"H. M. S. D. N")</f>
        <v>H. M. S. D. N</v>
      </c>
      <c r="D192" s="3" t="str">
        <f>dados_01!D192</f>
        <v>19/08/2023</v>
      </c>
      <c r="E192" s="3" t="str">
        <f>CONCATENATE(LEFT(dados_01!E192,3),REPT("*",6),RIGHT(dados_01!E192,2))</f>
        <v>003******21</v>
      </c>
      <c r="F192" s="3" t="str">
        <f>dados_01!F192</f>
        <v>INFANTIL 2</v>
      </c>
      <c r="G192" s="3" t="str">
        <f>dados_01!G192</f>
        <v>CEMEI SILVIA MARIA DE OLIVEIRA</v>
      </c>
      <c r="H192" s="3" t="str">
        <f>dados_01!H192</f>
        <v>REGIONAL 5</v>
      </c>
      <c r="I192" s="3">
        <f>dados_01!I192</f>
        <v>0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 spans="1:26">
      <c r="A193" s="3" t="str">
        <f>dados_01!A193</f>
        <v>02/03/2026 13:05:13</v>
      </c>
      <c r="B193" s="3" t="str">
        <f>dados_01!B193</f>
        <v>1</v>
      </c>
      <c r="C193" s="3" t="str">
        <f>IFERROR(__xludf.dummyfunction("JOIN("". "", ARRAYFORMULA(IFERROR(LEFT(SPLIT(dados_01!C193, "" ""), 1))))"),"A. V. D. S. L")</f>
        <v>A. V. D. S. L</v>
      </c>
      <c r="D193" s="3" t="str">
        <f>dados_01!D193</f>
        <v>15/11/2025</v>
      </c>
      <c r="E193" s="3" t="str">
        <f>CONCATENATE(LEFT(dados_01!E193,3),REPT("*",6),RIGHT(dados_01!E193,2))</f>
        <v>024******00</v>
      </c>
      <c r="F193" s="3" t="str">
        <f>dados_01!F193</f>
        <v>INFANTIL 1</v>
      </c>
      <c r="G193" s="3" t="str">
        <f>dados_01!G193</f>
        <v>CENTRO MUNICIPAL DE EDUCAÇÃO INFANTIL MARCOS FREIRE</v>
      </c>
      <c r="H193" s="3" t="str">
        <f>dados_01!H193</f>
        <v>REGIONAL 4</v>
      </c>
      <c r="I193" s="3">
        <f>dados_01!I193</f>
        <v>0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 spans="1:26">
      <c r="A194" s="3" t="str">
        <f>dados_01!A194</f>
        <v>03/03/2026 09:31:27</v>
      </c>
      <c r="B194" s="3" t="str">
        <f>dados_01!B194</f>
        <v>2</v>
      </c>
      <c r="C194" s="3" t="str">
        <f>IFERROR(__xludf.dummyfunction("JOIN("". "", ARRAYFORMULA(IFERROR(LEFT(SPLIT(dados_01!C194, "" ""), 1))))"),"J. K. G. D. N")</f>
        <v>J. K. G. D. N</v>
      </c>
      <c r="D194" s="3" t="str">
        <f>dados_01!D194</f>
        <v>25/07/2024</v>
      </c>
      <c r="E194" s="3" t="str">
        <f>CONCATENATE(LEFT(dados_01!E194,3),REPT("*",6),RIGHT(dados_01!E194,2))</f>
        <v>003******88</v>
      </c>
      <c r="F194" s="3" t="str">
        <f>dados_01!F194</f>
        <v>INFANTIL 1</v>
      </c>
      <c r="G194" s="3" t="str">
        <f>dados_01!G194</f>
        <v>CENTRO MUNICIPAL DE EDUCAÇÃO INFANTIL MARCOS FREIRE</v>
      </c>
      <c r="H194" s="3" t="str">
        <f>dados_01!H194</f>
        <v>REGIONAL 4</v>
      </c>
      <c r="I194" s="3">
        <f>dados_01!I194</f>
        <v>0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 spans="1:26">
      <c r="A195" s="3" t="str">
        <f>dados_01!A195</f>
        <v>11/03/2026 16:45:43</v>
      </c>
      <c r="B195" s="3" t="str">
        <f>dados_01!B195</f>
        <v>3</v>
      </c>
      <c r="C195" s="3" t="str">
        <f>IFERROR(__xludf.dummyfunction("JOIN("". "", ARRAYFORMULA(IFERROR(LEFT(SPLIT(dados_01!C195, "" ""), 1))))"),"J. C. D. S")</f>
        <v>J. C. D. S</v>
      </c>
      <c r="D195" s="3" t="str">
        <f>dados_01!D195</f>
        <v>13/08/2025</v>
      </c>
      <c r="E195" s="3" t="str">
        <f>CONCATENATE(LEFT(dados_01!E195,3),REPT("*",6),RIGHT(dados_01!E195,2))</f>
        <v>007******82</v>
      </c>
      <c r="F195" s="3" t="str">
        <f>dados_01!F195</f>
        <v>INFANTIL 1</v>
      </c>
      <c r="G195" s="3" t="str">
        <f>dados_01!G195</f>
        <v>CENTRO MUNICIPAL DE EDUCAÇÃO INFANTIL MARCOS FREIRE</v>
      </c>
      <c r="H195" s="3" t="str">
        <f>dados_01!H195</f>
        <v>REGIONAL 4</v>
      </c>
      <c r="I195" s="3">
        <f>dados_01!I195</f>
        <v>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 spans="1:26">
      <c r="A196" s="3" t="str">
        <f>dados_01!A196</f>
        <v>12/03/2026 06:29:35</v>
      </c>
      <c r="B196" s="3" t="str">
        <f>dados_01!B196</f>
        <v>4</v>
      </c>
      <c r="C196" s="3" t="str">
        <f>IFERROR(__xludf.dummyfunction("JOIN("". "", ARRAYFORMULA(IFERROR(LEFT(SPLIT(dados_01!C196, "" ""), 1))))"),"M. I. A. D. S")</f>
        <v>M. I. A. D. S</v>
      </c>
      <c r="D196" s="3" t="str">
        <f>dados_01!D196</f>
        <v>13/02/2025</v>
      </c>
      <c r="E196" s="3" t="str">
        <f>CONCATENATE(LEFT(dados_01!E196,3),REPT("*",6),RIGHT(dados_01!E196,2))</f>
        <v>005******24</v>
      </c>
      <c r="F196" s="3" t="str">
        <f>dados_01!F196</f>
        <v>INFANTIL 1</v>
      </c>
      <c r="G196" s="3" t="str">
        <f>dados_01!G196</f>
        <v>CENTRO MUNICIPAL DE EDUCAÇÃO INFANTIL MARCOS FREIRE</v>
      </c>
      <c r="H196" s="3" t="str">
        <f>dados_01!H196</f>
        <v>REGIONAL 4</v>
      </c>
      <c r="I196" s="3">
        <f>dados_01!I196</f>
        <v>0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 spans="1:26">
      <c r="A197" s="3" t="str">
        <f>dados_01!A197</f>
        <v>18/03/2026 11:00:34</v>
      </c>
      <c r="B197" s="3" t="str">
        <f>dados_01!B197</f>
        <v>5</v>
      </c>
      <c r="C197" s="3" t="str">
        <f>IFERROR(__xludf.dummyfunction("JOIN("". "", ARRAYFORMULA(IFERROR(LEFT(SPLIT(dados_01!C197, "" ""), 1))))"),"B. C. D. S. C")</f>
        <v>B. C. D. S. C</v>
      </c>
      <c r="D197" s="3" t="str">
        <f>dados_01!D197</f>
        <v>28/05/2025</v>
      </c>
      <c r="E197" s="3" t="str">
        <f>CONCATENATE(LEFT(dados_01!E197,3),REPT("*",6),RIGHT(dados_01!E197,2))</f>
        <v>006******07</v>
      </c>
      <c r="F197" s="3" t="str">
        <f>dados_01!F197</f>
        <v>INFANTIL 1</v>
      </c>
      <c r="G197" s="3" t="str">
        <f>dados_01!G197</f>
        <v>CENTRO MUNICIPAL DE EDUCAÇÃO INFANTIL MARCOS FREIRE</v>
      </c>
      <c r="H197" s="3" t="str">
        <f>dados_01!H197</f>
        <v>REGIONAL 4</v>
      </c>
      <c r="I197" s="3">
        <f>dados_01!I197</f>
        <v>0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 spans="1:26">
      <c r="A198" s="3" t="str">
        <f>dados_01!A198</f>
        <v>23/03/2026 12:20:04</v>
      </c>
      <c r="B198" s="3" t="str">
        <f>dados_01!B198</f>
        <v>6</v>
      </c>
      <c r="C198" s="3" t="str">
        <f>IFERROR(__xludf.dummyfunction("JOIN("". "", ARRAYFORMULA(IFERROR(LEFT(SPLIT(dados_01!C198, "" ""), 1))))"),"D. D. S")</f>
        <v>D. D. S</v>
      </c>
      <c r="D198" s="3" t="str">
        <f>dados_01!D198</f>
        <v>09/04/2024</v>
      </c>
      <c r="E198" s="3" t="str">
        <f>CONCATENATE(LEFT(dados_01!E198,3),REPT("*",6),RIGHT(dados_01!E198,2))</f>
        <v>002******29</v>
      </c>
      <c r="F198" s="3" t="str">
        <f>dados_01!F198</f>
        <v>INFANTIL 1</v>
      </c>
      <c r="G198" s="3" t="str">
        <f>dados_01!G198</f>
        <v>CENTRO MUNICIPAL DE EDUCAÇÃO INFANTIL MARCOS FREIRE</v>
      </c>
      <c r="H198" s="3" t="str">
        <f>dados_01!H198</f>
        <v>REGIONAL 4</v>
      </c>
      <c r="I198" s="3">
        <f>dados_01!I198</f>
        <v>0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 spans="1:26">
      <c r="A199" s="3" t="str">
        <f>dados_01!A199</f>
        <v>27/03/2026 14:19:05</v>
      </c>
      <c r="B199" s="3" t="str">
        <f>dados_01!B199</f>
        <v>7</v>
      </c>
      <c r="C199" s="3" t="str">
        <f>IFERROR(__xludf.dummyfunction("JOIN("". "", ARRAYFORMULA(IFERROR(LEFT(SPLIT(dados_01!C199, "" ""), 1))))"),"R. L. C. A. D. S")</f>
        <v>R. L. C. A. D. S</v>
      </c>
      <c r="D199" s="3" t="str">
        <f>dados_01!D199</f>
        <v>05/12/2024</v>
      </c>
      <c r="E199" s="3" t="str">
        <f>CONCATENATE(LEFT(dados_01!E199,3),REPT("*",6),RIGHT(dados_01!E199,2))</f>
        <v>004******03</v>
      </c>
      <c r="F199" s="3" t="str">
        <f>dados_01!F199</f>
        <v>INFANTIL 1</v>
      </c>
      <c r="G199" s="3" t="str">
        <f>dados_01!G199</f>
        <v>CENTRO MUNICIPAL DE EDUCAÇÃO INFANTIL MARCOS FREIRE</v>
      </c>
      <c r="H199" s="3" t="str">
        <f>dados_01!H199</f>
        <v>REGIONAL 4</v>
      </c>
      <c r="I199" s="3">
        <f>dados_01!I199</f>
        <v>0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 spans="1:26">
      <c r="A200" s="3" t="str">
        <f>dados_01!A200</f>
        <v>08/04/2026 10:45:14</v>
      </c>
      <c r="B200" s="3" t="str">
        <f>dados_01!B200</f>
        <v>8</v>
      </c>
      <c r="C200" s="3" t="str">
        <f>IFERROR(__xludf.dummyfunction("JOIN("". "", ARRAYFORMULA(IFERROR(LEFT(SPLIT(dados_01!C200, "" ""), 1))))"),"T. S. D. L")</f>
        <v>T. S. D. L</v>
      </c>
      <c r="D200" s="3" t="str">
        <f>dados_01!D200</f>
        <v>28/10/2024</v>
      </c>
      <c r="E200" s="3" t="str">
        <f>CONCATENATE(LEFT(dados_01!E200,3),REPT("*",6),RIGHT(dados_01!E200,2))</f>
        <v>004******67</v>
      </c>
      <c r="F200" s="3" t="str">
        <f>dados_01!F200</f>
        <v>INFANTIL 1</v>
      </c>
      <c r="G200" s="3" t="str">
        <f>dados_01!G200</f>
        <v>CENTRO MUNICIPAL DE EDUCAÇÃO INFANTIL MARCOS FREIRE</v>
      </c>
      <c r="H200" s="3" t="str">
        <f>dados_01!H200</f>
        <v>REGIONAL 4</v>
      </c>
      <c r="I200" s="3">
        <f>dados_01!I200</f>
        <v>0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 spans="1:26">
      <c r="A201" s="3" t="str">
        <f>dados_01!A201</f>
        <v>14/04/2026 09:51:21</v>
      </c>
      <c r="B201" s="3" t="str">
        <f>dados_01!B201</f>
        <v>9</v>
      </c>
      <c r="C201" s="3" t="str">
        <f>IFERROR(__xludf.dummyfunction("JOIN("". "", ARRAYFORMULA(IFERROR(LEFT(SPLIT(dados_01!C201, "" ""), 1))))"),"M. G. P. D. L")</f>
        <v>M. G. P. D. L</v>
      </c>
      <c r="D201" s="3" t="str">
        <f>dados_01!D201</f>
        <v>25/08/2025</v>
      </c>
      <c r="E201" s="3" t="str">
        <f>CONCATENATE(LEFT(dados_01!E201,3),REPT("*",6),RIGHT(dados_01!E201,2))</f>
        <v>014******83</v>
      </c>
      <c r="F201" s="3" t="str">
        <f>dados_01!F201</f>
        <v>INFANTIL 1</v>
      </c>
      <c r="G201" s="3" t="str">
        <f>dados_01!G201</f>
        <v>CENTRO MUNICIPAL DE EDUCAÇÃO INFANTIL MARCOS FREIRE</v>
      </c>
      <c r="H201" s="3" t="str">
        <f>dados_01!H201</f>
        <v>REGIONAL 4</v>
      </c>
      <c r="I201" s="3">
        <f>dados_01!I201</f>
        <v>0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 spans="1:26">
      <c r="A202" s="3" t="str">
        <f>dados_01!A202</f>
        <v>15/04/2026 16:58:08</v>
      </c>
      <c r="B202" s="3" t="str">
        <f>dados_01!B202</f>
        <v>10</v>
      </c>
      <c r="C202" s="3" t="str">
        <f>IFERROR(__xludf.dummyfunction("JOIN("". "", ARRAYFORMULA(IFERROR(LEFT(SPLIT(dados_01!C202, "" ""), 1))))"),"E. M. D. S")</f>
        <v>E. M. D. S</v>
      </c>
      <c r="D202" s="3" t="str">
        <f>dados_01!D202</f>
        <v>12/02/2025</v>
      </c>
      <c r="E202" s="3" t="str">
        <f>CONCATENATE(LEFT(dados_01!E202,3),REPT("*",6),RIGHT(dados_01!E202,2))</f>
        <v>050******00</v>
      </c>
      <c r="F202" s="3" t="str">
        <f>dados_01!F202</f>
        <v>INFANTIL 1</v>
      </c>
      <c r="G202" s="3" t="str">
        <f>dados_01!G202</f>
        <v>CENTRO MUNICIPAL DE EDUCAÇÃO INFANTIL MARCOS FREIRE</v>
      </c>
      <c r="H202" s="3" t="str">
        <f>dados_01!H202</f>
        <v>REGIONAL 4</v>
      </c>
      <c r="I202" s="3">
        <f>dados_01!I202</f>
        <v>0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 spans="1:26">
      <c r="A203" s="3" t="str">
        <f>dados_01!A203</f>
        <v>11/05/2026 14:39:32</v>
      </c>
      <c r="B203" s="3" t="str">
        <f>dados_01!B203</f>
        <v>11</v>
      </c>
      <c r="C203" s="3" t="str">
        <f>IFERROR(__xludf.dummyfunction("JOIN("". "", ARRAYFORMULA(IFERROR(LEFT(SPLIT(dados_01!C203, "" ""), 1))))"),"J. H. P. D. A")</f>
        <v>J. H. P. D. A</v>
      </c>
      <c r="D203" s="3" t="str">
        <f>dados_01!D203</f>
        <v>11/07/2024</v>
      </c>
      <c r="E203" s="3" t="str">
        <f>CONCATENATE(LEFT(dados_01!E203,3),REPT("*",6),RIGHT(dados_01!E203,2))</f>
        <v>003******28</v>
      </c>
      <c r="F203" s="3" t="str">
        <f>dados_01!F203</f>
        <v>INFANTIL 1</v>
      </c>
      <c r="G203" s="3" t="str">
        <f>dados_01!G203</f>
        <v>CENTRO MUNICIPAL DE EDUCAÇÃO INFANTIL MARCOS FREIRE</v>
      </c>
      <c r="H203" s="3" t="str">
        <f>dados_01!H203</f>
        <v>REGIONAL 4</v>
      </c>
      <c r="I203" s="3">
        <f>dados_01!I203</f>
        <v>0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 spans="1:26">
      <c r="A204" s="3" t="str">
        <f>dados_01!A204</f>
        <v>26/05/2026 13:30:04</v>
      </c>
      <c r="B204" s="3" t="str">
        <f>dados_01!B204</f>
        <v>12</v>
      </c>
      <c r="C204" s="3" t="str">
        <f>IFERROR(__xludf.dummyfunction("JOIN("". "", ARRAYFORMULA(IFERROR(LEFT(SPLIT(dados_01!C204, "" ""), 1))))"),"M. V. D. S. F")</f>
        <v>M. V. D. S. F</v>
      </c>
      <c r="D204" s="3" t="str">
        <f>dados_01!D204</f>
        <v>14/05/2025</v>
      </c>
      <c r="E204" s="3" t="str">
        <f>CONCATENATE(LEFT(dados_01!E204,3),REPT("*",6),RIGHT(dados_01!E204,2))</f>
        <v>006******85</v>
      </c>
      <c r="F204" s="3" t="str">
        <f>dados_01!F204</f>
        <v>INFANTIL 1</v>
      </c>
      <c r="G204" s="3" t="str">
        <f>dados_01!G204</f>
        <v>CENTRO MUNICIPAL DE EDUCAÇÃO INFANTIL MARCOS FREIRE</v>
      </c>
      <c r="H204" s="3" t="str">
        <f>dados_01!H204</f>
        <v>REGIONAL 4</v>
      </c>
      <c r="I204" s="3">
        <f>dados_01!I204</f>
        <v>0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 spans="1:26">
      <c r="A205" s="3" t="str">
        <f>dados_01!A205</f>
        <v>03/06/2026 08:39:17</v>
      </c>
      <c r="B205" s="3" t="str">
        <f>dados_01!B205</f>
        <v>13</v>
      </c>
      <c r="C205" s="3" t="str">
        <f>IFERROR(__xludf.dummyfunction("JOIN("". "", ARRAYFORMULA(IFERROR(LEFT(SPLIT(dados_01!C205, "" ""), 1))))"),"B. G. C. D. L")</f>
        <v>B. G. C. D. L</v>
      </c>
      <c r="D205" s="3" t="str">
        <f>dados_01!D205</f>
        <v>21/07/2024</v>
      </c>
      <c r="E205" s="3" t="str">
        <f>CONCATENATE(LEFT(dados_01!E205,3),REPT("*",6),RIGHT(dados_01!E205,2))</f>
        <v>003******63</v>
      </c>
      <c r="F205" s="3" t="str">
        <f>dados_01!F205</f>
        <v>INFANTIL 1</v>
      </c>
      <c r="G205" s="3" t="str">
        <f>dados_01!G205</f>
        <v>CENTRO MUNICIPAL DE EDUCAÇÃO INFANTIL MARCOS FREIRE</v>
      </c>
      <c r="H205" s="3" t="str">
        <f>dados_01!H205</f>
        <v>REGIONAL 4</v>
      </c>
      <c r="I205" s="3">
        <f>dados_01!I205</f>
        <v>0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 spans="1:26">
      <c r="A206" s="3" t="str">
        <f>dados_01!A206</f>
        <v>13/06/2026 12:51:02</v>
      </c>
      <c r="B206" s="3" t="str">
        <f>dados_01!B206</f>
        <v>14</v>
      </c>
      <c r="C206" s="3" t="str">
        <f>IFERROR(__xludf.dummyfunction("JOIN("". "", ARRAYFORMULA(IFERROR(LEFT(SPLIT(dados_01!C206, "" ""), 1))))"),"L. H. d. L. F")</f>
        <v>L. H. d. L. F</v>
      </c>
      <c r="D206" s="3" t="str">
        <f>dados_01!D206</f>
        <v>29/05/2025</v>
      </c>
      <c r="E206" s="3" t="str">
        <f>CONCATENATE(LEFT(dados_01!E206,3),REPT("*",6),RIGHT(dados_01!E206,2))</f>
        <v>006******54</v>
      </c>
      <c r="F206" s="3" t="str">
        <f>dados_01!F206</f>
        <v>INFANTIL 1</v>
      </c>
      <c r="G206" s="3" t="str">
        <f>dados_01!G206</f>
        <v>CENTRO MUNICIPAL DE EDUCAÇÃO INFANTIL MARCOS FREIRE</v>
      </c>
      <c r="H206" s="3" t="str">
        <f>dados_01!H206</f>
        <v>REGIONAL 4</v>
      </c>
      <c r="I206" s="3">
        <f>dados_01!I206</f>
        <v>0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 spans="1:26">
      <c r="A207" s="3" t="str">
        <f>dados_01!A207</f>
        <v>01/07/2026 15:14:07</v>
      </c>
      <c r="B207" s="3" t="str">
        <f>dados_01!B207</f>
        <v>15</v>
      </c>
      <c r="C207" s="3" t="str">
        <f>IFERROR(__xludf.dummyfunction("JOIN("". "", ARRAYFORMULA(IFERROR(LEFT(SPLIT(dados_01!C207, "" ""), 1))))"),"M. D. S. D. S")</f>
        <v>M. D. S. D. S</v>
      </c>
      <c r="D207" s="3" t="str">
        <f>dados_01!D207</f>
        <v>12/01/2025</v>
      </c>
      <c r="E207" s="3" t="str">
        <f>CONCATENATE(LEFT(dados_01!E207,3),REPT("*",6),RIGHT(dados_01!E207,2))</f>
        <v>124******05</v>
      </c>
      <c r="F207" s="3" t="str">
        <f>dados_01!F207</f>
        <v>INFANTIL 1</v>
      </c>
      <c r="G207" s="3" t="str">
        <f>dados_01!G207</f>
        <v>CENTRO MUNICIPAL DE EDUCAÇÃO INFANTIL MARCOS FREIRE</v>
      </c>
      <c r="H207" s="3" t="str">
        <f>dados_01!H207</f>
        <v>REGIONAL 4</v>
      </c>
      <c r="I207" s="3">
        <f>dados_01!I207</f>
        <v>0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 spans="1:26">
      <c r="A208" s="3" t="str">
        <f>dados_01!A208</f>
        <v>03/07/2026 16:18:13</v>
      </c>
      <c r="B208" s="3" t="str">
        <f>dados_01!B208</f>
        <v>16</v>
      </c>
      <c r="C208" s="3" t="str">
        <f>IFERROR(__xludf.dummyfunction("JOIN("". "", ARRAYFORMULA(IFERROR(LEFT(SPLIT(dados_01!C208, "" ""), 1))))"),"R. A. C. L")</f>
        <v>R. A. C. L</v>
      </c>
      <c r="D208" s="3" t="str">
        <f>dados_01!D208</f>
        <v>26/07/2024</v>
      </c>
      <c r="E208" s="3" t="str">
        <f>CONCATENATE(LEFT(dados_01!E208,3),REPT("*",6),RIGHT(dados_01!E208,2))</f>
        <v>003******04</v>
      </c>
      <c r="F208" s="3" t="str">
        <f>dados_01!F208</f>
        <v>INFANTIL 1</v>
      </c>
      <c r="G208" s="3" t="str">
        <f>dados_01!G208</f>
        <v>CENTRO MUNICIPAL DE EDUCAÇÃO INFANTIL MARCOS FREIRE</v>
      </c>
      <c r="H208" s="3" t="str">
        <f>dados_01!H208</f>
        <v>REGIONAL 4</v>
      </c>
      <c r="I208" s="3">
        <f>dados_01!I208</f>
        <v>0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 spans="1:26">
      <c r="A209" s="3" t="str">
        <f>dados_01!A209</f>
        <v>28/07/2026 10:16:21</v>
      </c>
      <c r="B209" s="3" t="str">
        <f>dados_01!B209</f>
        <v>17</v>
      </c>
      <c r="C209" s="3" t="str">
        <f>IFERROR(__xludf.dummyfunction("JOIN("". "", ARRAYFORMULA(IFERROR(LEFT(SPLIT(dados_01!C209, "" ""), 1))))"),"a. t. d. o")</f>
        <v>a. t. d. o</v>
      </c>
      <c r="D209" s="3" t="str">
        <f>dados_01!D209</f>
        <v>25/04/2024</v>
      </c>
      <c r="E209" s="3" t="str">
        <f>CONCATENATE(LEFT(dados_01!E209,3),REPT("*",6),RIGHT(dados_01!E209,2))</f>
        <v>002******03</v>
      </c>
      <c r="F209" s="3" t="str">
        <f>dados_01!F209</f>
        <v>INFANTIL 1</v>
      </c>
      <c r="G209" s="3" t="str">
        <f>dados_01!G209</f>
        <v>CENTRO MUNICIPAL DE EDUCAÇÃO INFANTIL MARCOS FREIRE</v>
      </c>
      <c r="H209" s="3" t="str">
        <f>dados_01!H209</f>
        <v>REGIONAL 4</v>
      </c>
      <c r="I209" s="3">
        <f>dados_01!I209</f>
        <v>0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 spans="1:26">
      <c r="A210" s="3" t="str">
        <f>dados_01!A210</f>
        <v>06/08/2026 14:52:11</v>
      </c>
      <c r="B210" s="3" t="str">
        <f>dados_01!B210</f>
        <v>18</v>
      </c>
      <c r="C210" s="3" t="str">
        <f>IFERROR(__xludf.dummyfunction("JOIN("". "", ARRAYFORMULA(IFERROR(LEFT(SPLIT(dados_01!C210, "" ""), 1))))"),"G. A. D. M")</f>
        <v>G. A. D. M</v>
      </c>
      <c r="D210" s="3" t="str">
        <f>dados_01!D210</f>
        <v>20/01/2025</v>
      </c>
      <c r="E210" s="3" t="str">
        <f>CONCATENATE(LEFT(dados_01!E210,3),REPT("*",6),RIGHT(dados_01!E210,2))</f>
        <v>005******00</v>
      </c>
      <c r="F210" s="3" t="str">
        <f>dados_01!F210</f>
        <v>INFANTIL 1</v>
      </c>
      <c r="G210" s="3" t="str">
        <f>dados_01!G210</f>
        <v>CENTRO MUNICIPAL DE EDUCAÇÃO INFANTIL MARCOS FREIRE</v>
      </c>
      <c r="H210" s="3" t="str">
        <f>dados_01!H210</f>
        <v>REGIONAL 4</v>
      </c>
      <c r="I210" s="3">
        <f>dados_01!I210</f>
        <v>0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 spans="1:26">
      <c r="A211" s="3" t="str">
        <f>dados_01!A211</f>
        <v>06/08/2026 16:03:25</v>
      </c>
      <c r="B211" s="3" t="str">
        <f>dados_01!B211</f>
        <v>19</v>
      </c>
      <c r="C211" s="3" t="str">
        <f>IFERROR(__xludf.dummyfunction("JOIN("". "", ARRAYFORMULA(IFERROR(LEFT(SPLIT(dados_01!C211, "" ""), 1))))"),"M. G. D. S. S")</f>
        <v>M. G. D. S. S</v>
      </c>
      <c r="D211" s="3" t="str">
        <f>dados_01!D211</f>
        <v>07/08/2025</v>
      </c>
      <c r="E211" s="3" t="str">
        <f>CONCATENATE(LEFT(dados_01!E211,3),REPT("*",6),RIGHT(dados_01!E211,2))</f>
        <v>006******30</v>
      </c>
      <c r="F211" s="3" t="str">
        <f>dados_01!F211</f>
        <v>INFANTIL 1</v>
      </c>
      <c r="G211" s="3" t="str">
        <f>dados_01!G211</f>
        <v>CENTRO MUNICIPAL DE EDUCAÇÃO INFANTIL MARCOS FREIRE</v>
      </c>
      <c r="H211" s="3" t="str">
        <f>dados_01!H211</f>
        <v>REGIONAL 4</v>
      </c>
      <c r="I211" s="3">
        <f>dados_01!I211</f>
        <v>0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 spans="1:26">
      <c r="A212" s="3" t="str">
        <f>dados_01!A212</f>
        <v>04/09/2026 12:15:39</v>
      </c>
      <c r="B212" s="3" t="str">
        <f>dados_01!B212</f>
        <v>20</v>
      </c>
      <c r="C212" s="3" t="str">
        <f>IFERROR(__xludf.dummyfunction("JOIN("". "", ARRAYFORMULA(IFERROR(LEFT(SPLIT(dados_01!C212, "" ""), 1))))"),"t. d. d. s")</f>
        <v>t. d. d. s</v>
      </c>
      <c r="D212" s="3" t="str">
        <f>dados_01!D212</f>
        <v>11/03/2025</v>
      </c>
      <c r="E212" s="3" t="str">
        <f>CONCATENATE(LEFT(dados_01!E212,3),REPT("*",6),RIGHT(dados_01!E212,2))</f>
        <v>005******96</v>
      </c>
      <c r="F212" s="3" t="str">
        <f>dados_01!F212</f>
        <v>INFANTIL 1</v>
      </c>
      <c r="G212" s="3" t="str">
        <f>dados_01!G212</f>
        <v>CENTRO MUNICIPAL DE EDUCAÇÃO INFANTIL MARCOS FREIRE</v>
      </c>
      <c r="H212" s="3" t="str">
        <f>dados_01!H212</f>
        <v>REGIONAL 4</v>
      </c>
      <c r="I212" s="3">
        <f>dados_01!I212</f>
        <v>0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 spans="1:26">
      <c r="A213" s="3" t="str">
        <f>dados_01!A213</f>
        <v>10/09/2026 17:24:43</v>
      </c>
      <c r="B213" s="3" t="str">
        <f>dados_01!B213</f>
        <v>21</v>
      </c>
      <c r="C213" s="3" t="str">
        <f>IFERROR(__xludf.dummyfunction("JOIN("". "", ARRAYFORMULA(IFERROR(LEFT(SPLIT(dados_01!C213, "" ""), 1))))"),"W. M. d. S")</f>
        <v>W. M. d. S</v>
      </c>
      <c r="D213" s="3" t="str">
        <f>dados_01!D213</f>
        <v>18/06/2026</v>
      </c>
      <c r="E213" s="3" t="str">
        <f>CONCATENATE(LEFT(dados_01!E213,3),REPT("*",6),RIGHT(dados_01!E213,2))</f>
        <v>114******20</v>
      </c>
      <c r="F213" s="3" t="str">
        <f>dados_01!F213</f>
        <v>INFANTIL 1</v>
      </c>
      <c r="G213" s="3" t="str">
        <f>dados_01!G213</f>
        <v>CENTRO MUNICIPAL DE EDUCAÇÃO INFANTIL MARCOS FREIRE</v>
      </c>
      <c r="H213" s="3" t="str">
        <f>dados_01!H213</f>
        <v>REGIONAL 4</v>
      </c>
      <c r="I213" s="3">
        <f>dados_01!I213</f>
        <v>0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 spans="1:26">
      <c r="A214" s="3" t="str">
        <f>dados_01!A214</f>
        <v>04/03/2026 14:46:15</v>
      </c>
      <c r="B214" s="3" t="str">
        <f>dados_01!B214</f>
        <v>1</v>
      </c>
      <c r="C214" s="3" t="str">
        <f>IFERROR(__xludf.dummyfunction("JOIN("". "", ARRAYFORMULA(IFERROR(LEFT(SPLIT(dados_01!C214, "" ""), 1))))"),"J. M. D. L. C")</f>
        <v>J. M. D. L. C</v>
      </c>
      <c r="D214" s="3" t="str">
        <f>dados_01!D214</f>
        <v>22/07/2023</v>
      </c>
      <c r="E214" s="3" t="str">
        <f>CONCATENATE(LEFT(dados_01!E214,3),REPT("*",6),RIGHT(dados_01!E214,2))</f>
        <v>234******62</v>
      </c>
      <c r="F214" s="3" t="str">
        <f>dados_01!F214</f>
        <v>INFANTIL 2</v>
      </c>
      <c r="G214" s="3" t="str">
        <f>dados_01!G214</f>
        <v>CENTRO MUNICIPAL DE EDUCAÇÃO INFANTIL MARCOS FREIRE</v>
      </c>
      <c r="H214" s="3" t="str">
        <f>dados_01!H214</f>
        <v>REGIONAL 4</v>
      </c>
      <c r="I214" s="3">
        <f>dados_01!I214</f>
        <v>0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 spans="1:26">
      <c r="A215" s="3" t="str">
        <f>dados_01!A215</f>
        <v>20/03/2026 08:02:42</v>
      </c>
      <c r="B215" s="3" t="str">
        <f>dados_01!B215</f>
        <v>2</v>
      </c>
      <c r="C215" s="3" t="str">
        <f>IFERROR(__xludf.dummyfunction("JOIN("". "", ARRAYFORMULA(IFERROR(LEFT(SPLIT(dados_01!C215, "" ""), 1))))"),"D. P. D. S. B")</f>
        <v>D. P. D. S. B</v>
      </c>
      <c r="D215" s="3" t="str">
        <f>dados_01!D215</f>
        <v>17/01/2024</v>
      </c>
      <c r="E215" s="3" t="str">
        <f>CONCATENATE(LEFT(dados_01!E215,3),REPT("*",6),RIGHT(dados_01!E215,2))</f>
        <v>001******32</v>
      </c>
      <c r="F215" s="3" t="str">
        <f>dados_01!F215</f>
        <v>INFANTIL 2</v>
      </c>
      <c r="G215" s="3" t="str">
        <f>dados_01!G215</f>
        <v>CENTRO MUNICIPAL DE EDUCAÇÃO INFANTIL MARCOS FREIRE</v>
      </c>
      <c r="H215" s="3" t="str">
        <f>dados_01!H215</f>
        <v>REGIONAL 4</v>
      </c>
      <c r="I215" s="3">
        <f>dados_01!I215</f>
        <v>0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 spans="1:26">
      <c r="A216" s="3" t="str">
        <f>dados_01!A216</f>
        <v>20/03/2026 23:02:44</v>
      </c>
      <c r="B216" s="3" t="str">
        <f>dados_01!B216</f>
        <v>3</v>
      </c>
      <c r="C216" s="3" t="str">
        <f>IFERROR(__xludf.dummyfunction("JOIN("". "", ARRAYFORMULA(IFERROR(LEFT(SPLIT(dados_01!C216, "" ""), 1))))"),"L. B. D. O. R")</f>
        <v>L. B. D. O. R</v>
      </c>
      <c r="D216" s="3" t="str">
        <f>dados_01!D216</f>
        <v>22/02/2024</v>
      </c>
      <c r="E216" s="3" t="str">
        <f>CONCATENATE(LEFT(dados_01!E216,3),REPT("*",6),RIGHT(dados_01!E216,2))</f>
        <v>002******40</v>
      </c>
      <c r="F216" s="3" t="str">
        <f>dados_01!F216</f>
        <v>INFANTIL 2</v>
      </c>
      <c r="G216" s="3" t="str">
        <f>dados_01!G216</f>
        <v>CENTRO MUNICIPAL DE EDUCAÇÃO INFANTIL MARCOS FREIRE</v>
      </c>
      <c r="H216" s="3" t="str">
        <f>dados_01!H216</f>
        <v>REGIONAL 4</v>
      </c>
      <c r="I216" s="3">
        <f>dados_01!I216</f>
        <v>0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 spans="1:26">
      <c r="A217" s="3" t="str">
        <f>dados_01!A217</f>
        <v>08/04/2026 13:49:21</v>
      </c>
      <c r="B217" s="3" t="str">
        <f>dados_01!B217</f>
        <v>4</v>
      </c>
      <c r="C217" s="3" t="str">
        <f>IFERROR(__xludf.dummyfunction("JOIN("". "", ARRAYFORMULA(IFERROR(LEFT(SPLIT(dados_01!C217, "" ""), 1))))"),"J. M. D. S. N")</f>
        <v>J. M. D. S. N</v>
      </c>
      <c r="D217" s="3" t="str">
        <f>dados_01!D217</f>
        <v>23/07/2023</v>
      </c>
      <c r="E217" s="3" t="str">
        <f>CONCATENATE(LEFT(dados_01!E217,3),REPT("*",6),RIGHT(dados_01!E217,2))</f>
        <v>186******21</v>
      </c>
      <c r="F217" s="3" t="str">
        <f>dados_01!F217</f>
        <v>INFANTIL 2</v>
      </c>
      <c r="G217" s="3" t="str">
        <f>dados_01!G217</f>
        <v>CENTRO MUNICIPAL DE EDUCAÇÃO INFANTIL MARCOS FREIRE</v>
      </c>
      <c r="H217" s="3" t="str">
        <f>dados_01!H217</f>
        <v>REGIONAL 4</v>
      </c>
      <c r="I217" s="3">
        <f>dados_01!I217</f>
        <v>0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 spans="1:26">
      <c r="A218" s="3" t="str">
        <f>dados_01!A218</f>
        <v>21/07/2026 12:18:22</v>
      </c>
      <c r="B218" s="3" t="str">
        <f>dados_01!B218</f>
        <v>5</v>
      </c>
      <c r="C218" s="3" t="str">
        <f>IFERROR(__xludf.dummyfunction("JOIN("". "", ARRAYFORMULA(IFERROR(LEFT(SPLIT(dados_01!C218, "" ""), 1))))"),"L. D. L. B")</f>
        <v>L. D. L. B</v>
      </c>
      <c r="D218" s="3" t="str">
        <f>dados_01!D218</f>
        <v>15/12/2023</v>
      </c>
      <c r="E218" s="3" t="str">
        <f>CONCATENATE(LEFT(dados_01!E218,3),REPT("*",6),RIGHT(dados_01!E218,2))</f>
        <v>001******16</v>
      </c>
      <c r="F218" s="3" t="str">
        <f>dados_01!F218</f>
        <v>INFANTIL 2</v>
      </c>
      <c r="G218" s="3" t="str">
        <f>dados_01!G218</f>
        <v>CENTRO MUNICIPAL DE EDUCAÇÃO INFANTIL MARCOS FREIRE</v>
      </c>
      <c r="H218" s="3" t="str">
        <f>dados_01!H218</f>
        <v>REGIONAL 4</v>
      </c>
      <c r="I218" s="3">
        <f>dados_01!I218</f>
        <v>0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 spans="1:26">
      <c r="A219" s="3" t="str">
        <f>dados_01!A219</f>
        <v>05/08/2026 08:49:31</v>
      </c>
      <c r="B219" s="3" t="str">
        <f>dados_01!B219</f>
        <v>6</v>
      </c>
      <c r="C219" s="3" t="str">
        <f>IFERROR(__xludf.dummyfunction("JOIN("". "", ARRAYFORMULA(IFERROR(LEFT(SPLIT(dados_01!C219, "" ""), 1))))"),"d. a. p. d. s")</f>
        <v>d. a. p. d. s</v>
      </c>
      <c r="D219" s="3" t="str">
        <f>dados_01!D219</f>
        <v>19/01/2024</v>
      </c>
      <c r="E219" s="3" t="str">
        <f>CONCATENATE(LEFT(dados_01!E219,3),REPT("*",6),RIGHT(dados_01!E219,2))</f>
        <v>001******07</v>
      </c>
      <c r="F219" s="3" t="str">
        <f>dados_01!F219</f>
        <v>INFANTIL 2</v>
      </c>
      <c r="G219" s="3" t="str">
        <f>dados_01!G219</f>
        <v>CENTRO MUNICIPAL DE EDUCAÇÃO INFANTIL MARCOS FREIRE</v>
      </c>
      <c r="H219" s="3" t="str">
        <f>dados_01!H219</f>
        <v>REGIONAL 4</v>
      </c>
      <c r="I219" s="3">
        <f>dados_01!I219</f>
        <v>0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 spans="1:26">
      <c r="A220" s="3" t="str">
        <f>dados_01!A220</f>
        <v>05/08/2026 15:34:59</v>
      </c>
      <c r="B220" s="3" t="str">
        <f>dados_01!B220</f>
        <v>1</v>
      </c>
      <c r="C220" s="3" t="str">
        <f>IFERROR(__xludf.dummyfunction("JOIN("". "", ARRAYFORMULA(IFERROR(LEFT(SPLIT(dados_01!C220, "" ""), 1))))"),"M. C. S. D. S")</f>
        <v>M. C. S. D. S</v>
      </c>
      <c r="D220" s="3" t="str">
        <f>dados_01!D220</f>
        <v>09/02/2023</v>
      </c>
      <c r="E220" s="3" t="str">
        <f>CONCATENATE(LEFT(dados_01!E220,3),REPT("*",6),RIGHT(dados_01!E220,2))</f>
        <v>185******80</v>
      </c>
      <c r="F220" s="3" t="str">
        <f>dados_01!F220</f>
        <v>INFANTIL 3</v>
      </c>
      <c r="G220" s="3" t="str">
        <f>dados_01!G220</f>
        <v>CENTRO MUNICIPAL DE EDUCAÇÃO INFANTIL MARCOS FREIRE</v>
      </c>
      <c r="H220" s="3" t="str">
        <f>dados_01!H220</f>
        <v>REGIONAL 4</v>
      </c>
      <c r="I220" s="3">
        <f>dados_01!I220</f>
        <v>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 spans="1:26">
      <c r="A221" s="3" t="str">
        <f>dados_01!A221</f>
        <v>25/02/2026 12:49:56</v>
      </c>
      <c r="B221" s="3" t="str">
        <f>dados_01!B221</f>
        <v>1</v>
      </c>
      <c r="C221" s="3" t="str">
        <f>IFERROR(__xludf.dummyfunction("JOIN("". "", ARRAYFORMULA(IFERROR(LEFT(SPLIT(dados_01!C221, "" ""), 1))))"),"C")</f>
        <v>C</v>
      </c>
      <c r="D221" s="3" t="str">
        <f>dados_01!D221</f>
        <v>03/07/2025</v>
      </c>
      <c r="E221" s="3" t="str">
        <f>CONCATENATE(LEFT(dados_01!E221,3),REPT("*",6),RIGHT(dados_01!E221,2))</f>
        <v>006******51</v>
      </c>
      <c r="F221" s="3" t="str">
        <f>dados_01!F221</f>
        <v>INFANTIL 1</v>
      </c>
      <c r="G221" s="3" t="str">
        <f>dados_01!G221</f>
        <v>CRECHE ALAYDE MARIA DA CONCEICAO</v>
      </c>
      <c r="H221" s="3" t="str">
        <f>dados_01!H221</f>
        <v>REGIONAL 2</v>
      </c>
      <c r="I221" s="3">
        <f>dados_01!I221</f>
        <v>0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 spans="1:26">
      <c r="A222" s="3" t="str">
        <f>dados_01!A222</f>
        <v>25/03/2026 16:34:54</v>
      </c>
      <c r="B222" s="3" t="str">
        <f>dados_01!B222</f>
        <v>2</v>
      </c>
      <c r="C222" s="3" t="str">
        <f>IFERROR(__xludf.dummyfunction("JOIN("". "", ARRAYFORMULA(IFERROR(LEFT(SPLIT(dados_01!C222, "" ""), 1))))"),"D. A. D. S")</f>
        <v>D. A. D. S</v>
      </c>
      <c r="D222" s="3" t="str">
        <f>dados_01!D222</f>
        <v>27/05/2025</v>
      </c>
      <c r="E222" s="3" t="str">
        <f>CONCATENATE(LEFT(dados_01!E222,3),REPT("*",6),RIGHT(dados_01!E222,2))</f>
        <v>003******10</v>
      </c>
      <c r="F222" s="3" t="str">
        <f>dados_01!F222</f>
        <v>INFANTIL 1</v>
      </c>
      <c r="G222" s="3" t="str">
        <f>dados_01!G222</f>
        <v>CRECHE ALAYDE MARIA DA CONCEICAO</v>
      </c>
      <c r="H222" s="3" t="str">
        <f>dados_01!H222</f>
        <v>REGIONAL 2</v>
      </c>
      <c r="I222" s="3">
        <f>dados_01!I222</f>
        <v>0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 spans="1:26">
      <c r="A223" s="3" t="str">
        <f>dados_01!A223</f>
        <v>18/06/2026 11:42:52</v>
      </c>
      <c r="B223" s="3" t="str">
        <f>dados_01!B223</f>
        <v>3</v>
      </c>
      <c r="C223" s="3" t="str">
        <f>IFERROR(__xludf.dummyfunction("JOIN("". "", ARRAYFORMULA(IFERROR(LEFT(SPLIT(dados_01!C223, "" ""), 1))))"),"H. S. S. d. S")</f>
        <v>H. S. S. d. S</v>
      </c>
      <c r="D223" s="3" t="str">
        <f>dados_01!D223</f>
        <v>04/04/2025</v>
      </c>
      <c r="E223" s="3" t="str">
        <f>CONCATENATE(LEFT(dados_01!E223,3),REPT("*",6),RIGHT(dados_01!E223,2))</f>
        <v>005******23</v>
      </c>
      <c r="F223" s="3" t="str">
        <f>dados_01!F223</f>
        <v>INFANTIL 1</v>
      </c>
      <c r="G223" s="3" t="str">
        <f>dados_01!G223</f>
        <v>CRECHE ALAYDE MARIA DA CONCEICAO</v>
      </c>
      <c r="H223" s="3" t="str">
        <f>dados_01!H223</f>
        <v>REGIONAL 2</v>
      </c>
      <c r="I223" s="3">
        <f>dados_01!I223</f>
        <v>0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 spans="1:26">
      <c r="A224" s="3" t="str">
        <f>dados_01!A224</f>
        <v>23/06/2026 08:34:26</v>
      </c>
      <c r="B224" s="3" t="str">
        <f>dados_01!B224</f>
        <v>4</v>
      </c>
      <c r="C224" s="3" t="str">
        <f>IFERROR(__xludf.dummyfunction("JOIN("". "", ARRAYFORMULA(IFERROR(LEFT(SPLIT(dados_01!C224, "" ""), 1))))"),"E. S. p. d. O")</f>
        <v>E. S. p. d. O</v>
      </c>
      <c r="D224" s="3" t="str">
        <f>dados_01!D224</f>
        <v>08/07/2024</v>
      </c>
      <c r="E224" s="3" t="str">
        <f>CONCATENATE(LEFT(dados_01!E224,3),REPT("*",6),RIGHT(dados_01!E224,2))</f>
        <v>003******67</v>
      </c>
      <c r="F224" s="3" t="str">
        <f>dados_01!F224</f>
        <v>INFANTIL 1</v>
      </c>
      <c r="G224" s="3" t="str">
        <f>dados_01!G224</f>
        <v>CRECHE ALAYDE MARIA DA CONCEICAO</v>
      </c>
      <c r="H224" s="3" t="str">
        <f>dados_01!H224</f>
        <v>REGIONAL 2</v>
      </c>
      <c r="I224" s="3">
        <f>dados_01!I224</f>
        <v>0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 spans="1:26">
      <c r="A225" s="3" t="str">
        <f>dados_01!A225</f>
        <v>04/08/2026 21:58:49</v>
      </c>
      <c r="B225" s="3" t="str">
        <f>dados_01!B225</f>
        <v>5</v>
      </c>
      <c r="C225" s="3" t="str">
        <f>IFERROR(__xludf.dummyfunction("JOIN("". "", ARRAYFORMULA(IFERROR(LEFT(SPLIT(dados_01!C225, "" ""), 1))))"),"V. R. d. S. C")</f>
        <v>V. R. d. S. C</v>
      </c>
      <c r="D225" s="3" t="str">
        <f>dados_01!D225</f>
        <v>28/02/2025</v>
      </c>
      <c r="E225" s="3" t="str">
        <f>CONCATENATE(LEFT(dados_01!E225,3),REPT("*",6),RIGHT(dados_01!E225,2))</f>
        <v>005******61</v>
      </c>
      <c r="F225" s="3" t="str">
        <f>dados_01!F225</f>
        <v>INFANTIL 1</v>
      </c>
      <c r="G225" s="3" t="str">
        <f>dados_01!G225</f>
        <v>CRECHE ALAYDE MARIA DA CONCEICAO</v>
      </c>
      <c r="H225" s="3" t="str">
        <f>dados_01!H225</f>
        <v>REGIONAL 2</v>
      </c>
      <c r="I225" s="3">
        <f>dados_01!I225</f>
        <v>0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 spans="1:26">
      <c r="A226" s="3" t="str">
        <f>dados_01!A226</f>
        <v>19/03/2026 10:36:55</v>
      </c>
      <c r="B226" s="3" t="str">
        <f>dados_01!B226</f>
        <v>1</v>
      </c>
      <c r="C226" s="3" t="str">
        <f>IFERROR(__xludf.dummyfunction("JOIN("". "", ARRAYFORMULA(IFERROR(LEFT(SPLIT(dados_01!C226, "" ""), 1))))"),"E. E. M. D. L")</f>
        <v>E. E. M. D. L</v>
      </c>
      <c r="D226" s="3" t="str">
        <f>dados_01!D226</f>
        <v>21/04/2023</v>
      </c>
      <c r="E226" s="3" t="str">
        <f>CONCATENATE(LEFT(dados_01!E226,3),REPT("*",6),RIGHT(dados_01!E226,2))</f>
        <v>185******93</v>
      </c>
      <c r="F226" s="3" t="str">
        <f>dados_01!F226</f>
        <v>INFANTIL 2</v>
      </c>
      <c r="G226" s="3" t="str">
        <f>dados_01!G226</f>
        <v>CRECHE ALAYDE MARIA DA CONCEICAO</v>
      </c>
      <c r="H226" s="3" t="str">
        <f>dados_01!H226</f>
        <v>REGIONAL 2</v>
      </c>
      <c r="I226" s="3">
        <f>dados_01!I226</f>
        <v>0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 spans="1:26">
      <c r="A227" s="3" t="str">
        <f>dados_01!A227</f>
        <v>31/03/2026 12:14:35</v>
      </c>
      <c r="B227" s="3" t="str">
        <f>dados_01!B227</f>
        <v>2</v>
      </c>
      <c r="C227" s="3" t="str">
        <f>IFERROR(__xludf.dummyfunction("JOIN("". "", ARRAYFORMULA(IFERROR(LEFT(SPLIT(dados_01!C227, "" ""), 1))))"),"H. D. A. F")</f>
        <v>H. D. A. F</v>
      </c>
      <c r="D227" s="3" t="str">
        <f>dados_01!D227</f>
        <v>04/03/2024</v>
      </c>
      <c r="E227" s="3" t="str">
        <f>CONCATENATE(LEFT(dados_01!E227,3),REPT("*",6),RIGHT(dados_01!E227,2))</f>
        <v>002******10</v>
      </c>
      <c r="F227" s="3" t="str">
        <f>dados_01!F227</f>
        <v>INFANTIL 2</v>
      </c>
      <c r="G227" s="3" t="str">
        <f>dados_01!G227</f>
        <v>CRECHE ALAYDE MARIA DA CONCEICAO</v>
      </c>
      <c r="H227" s="3" t="str">
        <f>dados_01!H227</f>
        <v>REGIONAL 2</v>
      </c>
      <c r="I227" s="3">
        <f>dados_01!I227</f>
        <v>0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 spans="1:26">
      <c r="A228" s="3" t="str">
        <f>dados_01!A228</f>
        <v>27/04/2026 15:51:32</v>
      </c>
      <c r="B228" s="3" t="str">
        <f>dados_01!B228</f>
        <v>3</v>
      </c>
      <c r="C228" s="3" t="str">
        <f>IFERROR(__xludf.dummyfunction("JOIN("". "", ARRAYFORMULA(IFERROR(LEFT(SPLIT(dados_01!C228, "" ""), 1))))"),"E. F. M. D. S. R")</f>
        <v>E. F. M. D. S. R</v>
      </c>
      <c r="D228" s="3" t="str">
        <f>dados_01!D228</f>
        <v>11/02/2024</v>
      </c>
      <c r="E228" s="3" t="str">
        <f>CONCATENATE(LEFT(dados_01!E228,3),REPT("*",6),RIGHT(dados_01!E228,2))</f>
        <v>001******22</v>
      </c>
      <c r="F228" s="3" t="str">
        <f>dados_01!F228</f>
        <v>INFANTIL 2</v>
      </c>
      <c r="G228" s="3" t="str">
        <f>dados_01!G228</f>
        <v>CRECHE ALAYDE MARIA DA CONCEICAO</v>
      </c>
      <c r="H228" s="3" t="str">
        <f>dados_01!H228</f>
        <v>REGIONAL 2</v>
      </c>
      <c r="I228" s="3">
        <f>dados_01!I228</f>
        <v>0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 spans="1:26">
      <c r="A229" s="3" t="str">
        <f>dados_01!A229</f>
        <v>14/03/2026 10:04:37</v>
      </c>
      <c r="B229" s="3" t="str">
        <f>dados_01!B229</f>
        <v>1</v>
      </c>
      <c r="C229" s="3" t="str">
        <f>IFERROR(__xludf.dummyfunction("JOIN("". "", ARRAYFORMULA(IFERROR(LEFT(SPLIT(dados_01!C229, "" ""), 1))))"),"B. C")</f>
        <v>B. C</v>
      </c>
      <c r="D229" s="3" t="str">
        <f>dados_01!D229</f>
        <v>27/06/2024</v>
      </c>
      <c r="E229" s="3" t="str">
        <f>CONCATENATE(LEFT(dados_01!E229,3),REPT("*",6),RIGHT(dados_01!E229,2))</f>
        <v>003******01</v>
      </c>
      <c r="F229" s="3" t="str">
        <f>dados_01!F229</f>
        <v>INFANTIL 1</v>
      </c>
      <c r="G229" s="3" t="str">
        <f>dados_01!G229</f>
        <v>CRECHE CIRANDA CIRANDINHA</v>
      </c>
      <c r="H229" s="3" t="str">
        <f>dados_01!H229</f>
        <v>REGIONAL 1</v>
      </c>
      <c r="I229" s="3">
        <f>dados_01!I229</f>
        <v>0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 spans="1:26">
      <c r="A230" s="3" t="str">
        <f>dados_01!A230</f>
        <v>29/04/2026 14:37:28</v>
      </c>
      <c r="B230" s="3" t="str">
        <f>dados_01!B230</f>
        <v>2</v>
      </c>
      <c r="C230" s="3" t="str">
        <f>IFERROR(__xludf.dummyfunction("JOIN("". "", ARRAYFORMULA(IFERROR(LEFT(SPLIT(dados_01!C230, "" ""), 1))))"),"K. R. B. D. B")</f>
        <v>K. R. B. D. B</v>
      </c>
      <c r="D230" s="3" t="str">
        <f>dados_01!D230</f>
        <v>14/01/2025</v>
      </c>
      <c r="E230" s="3" t="str">
        <f>CONCATENATE(LEFT(dados_01!E230,3),REPT("*",6),RIGHT(dados_01!E230,2))</f>
        <v>006******40</v>
      </c>
      <c r="F230" s="3" t="str">
        <f>dados_01!F230</f>
        <v>INFANTIL 1</v>
      </c>
      <c r="G230" s="3" t="str">
        <f>dados_01!G230</f>
        <v>CRECHE CIRANDA CIRANDINHA</v>
      </c>
      <c r="H230" s="3" t="str">
        <f>dados_01!H230</f>
        <v>REGIONAL 1</v>
      </c>
      <c r="I230" s="3">
        <f>dados_01!I230</f>
        <v>0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 spans="1:26">
      <c r="A231" s="3" t="str">
        <f>dados_01!A231</f>
        <v>28/05/2026 16:17:10</v>
      </c>
      <c r="B231" s="3" t="str">
        <f>dados_01!B231</f>
        <v>3</v>
      </c>
      <c r="C231" s="3" t="str">
        <f>IFERROR(__xludf.dummyfunction("JOIN("". "", ARRAYFORMULA(IFERROR(LEFT(SPLIT(dados_01!C231, "" ""), 1))))"),"H. C. R. G")</f>
        <v>H. C. R. G</v>
      </c>
      <c r="D231" s="3" t="str">
        <f>dados_01!D231</f>
        <v>02/12/2024</v>
      </c>
      <c r="E231" s="3" t="str">
        <f>CONCATENATE(LEFT(dados_01!E231,3),REPT("*",6),RIGHT(dados_01!E231,2))</f>
        <v>004******08</v>
      </c>
      <c r="F231" s="3" t="str">
        <f>dados_01!F231</f>
        <v>INFANTIL 1</v>
      </c>
      <c r="G231" s="3" t="str">
        <f>dados_01!G231</f>
        <v>CRECHE CIRANDA CIRANDINHA</v>
      </c>
      <c r="H231" s="3" t="str">
        <f>dados_01!H231</f>
        <v>REGIONAL 1</v>
      </c>
      <c r="I231" s="3">
        <f>dados_01!I231</f>
        <v>0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 spans="1:26">
      <c r="A232" s="3" t="str">
        <f>dados_01!A232</f>
        <v>01/06/2026 12:23:26</v>
      </c>
      <c r="B232" s="3" t="str">
        <f>dados_01!B232</f>
        <v>4</v>
      </c>
      <c r="C232" s="3" t="str">
        <f>IFERROR(__xludf.dummyfunction("JOIN("". "", ARRAYFORMULA(IFERROR(LEFT(SPLIT(dados_01!C232, "" ""), 1))))"),"A. B. F. R")</f>
        <v>A. B. F. R</v>
      </c>
      <c r="D232" s="3" t="str">
        <f>dados_01!D232</f>
        <v>27/06/2025</v>
      </c>
      <c r="E232" s="3" t="str">
        <f>CONCATENATE(LEFT(dados_01!E232,3),REPT("*",6),RIGHT(dados_01!E232,2))</f>
        <v>006******01</v>
      </c>
      <c r="F232" s="3" t="str">
        <f>dados_01!F232</f>
        <v>INFANTIL 1</v>
      </c>
      <c r="G232" s="3" t="str">
        <f>dados_01!G232</f>
        <v>CRECHE CIRANDA CIRANDINHA</v>
      </c>
      <c r="H232" s="3" t="str">
        <f>dados_01!H232</f>
        <v>REGIONAL 1</v>
      </c>
      <c r="I232" s="3">
        <f>dados_01!I232</f>
        <v>0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 spans="1:26">
      <c r="A233" s="3" t="str">
        <f>dados_01!A233</f>
        <v>19/06/2026 10:54:15</v>
      </c>
      <c r="B233" s="3" t="str">
        <f>dados_01!B233</f>
        <v>5</v>
      </c>
      <c r="C233" s="3" t="str">
        <f>IFERROR(__xludf.dummyfunction("JOIN("". "", ARRAYFORMULA(IFERROR(LEFT(SPLIT(dados_01!C233, "" ""), 1))))"),"M. L. c. f")</f>
        <v>M. L. c. f</v>
      </c>
      <c r="D233" s="3" t="str">
        <f>dados_01!D233</f>
        <v>28/07/2025</v>
      </c>
      <c r="E233" s="3" t="str">
        <f>CONCATENATE(LEFT(dados_01!E233,3),REPT("*",6),RIGHT(dados_01!E233,2))</f>
        <v>007******42</v>
      </c>
      <c r="F233" s="3" t="str">
        <f>dados_01!F233</f>
        <v>INFANTIL 1</v>
      </c>
      <c r="G233" s="3" t="str">
        <f>dados_01!G233</f>
        <v>CRECHE CIRANDA CIRANDINHA</v>
      </c>
      <c r="H233" s="3" t="str">
        <f>dados_01!H233</f>
        <v>REGIONAL 1</v>
      </c>
      <c r="I233" s="3">
        <f>dados_01!I233</f>
        <v>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 spans="1:26">
      <c r="A234" s="3" t="str">
        <f>dados_01!A234</f>
        <v>15/07/2026 09:24:08</v>
      </c>
      <c r="B234" s="3" t="str">
        <f>dados_01!B234</f>
        <v>6</v>
      </c>
      <c r="C234" s="3" t="str">
        <f>IFERROR(__xludf.dummyfunction("JOIN("". "", ARRAYFORMULA(IFERROR(LEFT(SPLIT(dados_01!C234, "" ""), 1))))"),"A. M. d. S. M")</f>
        <v>A. M. d. S. M</v>
      </c>
      <c r="D234" s="3" t="str">
        <f>dados_01!D234</f>
        <v>23/09/2025</v>
      </c>
      <c r="E234" s="3" t="str">
        <f>CONCATENATE(LEFT(dados_01!E234,3),REPT("*",6),RIGHT(dados_01!E234,2))</f>
        <v>015******72</v>
      </c>
      <c r="F234" s="3" t="str">
        <f>dados_01!F234</f>
        <v>INFANTIL 1</v>
      </c>
      <c r="G234" s="3" t="str">
        <f>dados_01!G234</f>
        <v>CRECHE CIRANDA CIRANDINHA</v>
      </c>
      <c r="H234" s="3" t="str">
        <f>dados_01!H234</f>
        <v>REGIONAL 1</v>
      </c>
      <c r="I234" s="3">
        <f>dados_01!I234</f>
        <v>0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 spans="1:26">
      <c r="A235" s="3" t="str">
        <f>dados_01!A235</f>
        <v>13/09/2026 22:23:43</v>
      </c>
      <c r="B235" s="3" t="str">
        <f>dados_01!B235</f>
        <v>7</v>
      </c>
      <c r="C235" s="3" t="str">
        <f>IFERROR(__xludf.dummyfunction("JOIN("". "", ARRAYFORMULA(IFERROR(LEFT(SPLIT(dados_01!C235, "" ""), 1))))"),"Y. G. g. S")</f>
        <v>Y. G. g. S</v>
      </c>
      <c r="D235" s="3" t="str">
        <f>dados_01!D235</f>
        <v>11/02/2026</v>
      </c>
      <c r="E235" s="3" t="str">
        <f>CONCATENATE(LEFT(dados_01!E235,3),REPT("*",6),RIGHT(dados_01!E235,2))</f>
        <v>048******72</v>
      </c>
      <c r="F235" s="3" t="str">
        <f>dados_01!F235</f>
        <v>INFANTIL 1</v>
      </c>
      <c r="G235" s="3" t="str">
        <f>dados_01!G235</f>
        <v>CRECHE CIRANDA CIRANDINHA</v>
      </c>
      <c r="H235" s="3" t="str">
        <f>dados_01!H235</f>
        <v>REGIONAL 1</v>
      </c>
      <c r="I235" s="3">
        <f>dados_01!I235</f>
        <v>0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 spans="1:26">
      <c r="A236" s="3" t="str">
        <f>dados_01!A236</f>
        <v>22/09/2026 15:25:56</v>
      </c>
      <c r="B236" s="3" t="str">
        <f>dados_01!B236</f>
        <v>8</v>
      </c>
      <c r="C236" s="3" t="str">
        <f>IFERROR(__xludf.dummyfunction("JOIN("". "", ARRAYFORMULA(IFERROR(LEFT(SPLIT(dados_01!C236, "" ""), 1))))"),"J. J. D. S. P. N")</f>
        <v>J. J. D. S. P. N</v>
      </c>
      <c r="D236" s="3" t="str">
        <f>dados_01!D236</f>
        <v>01/12/2024</v>
      </c>
      <c r="E236" s="3" t="str">
        <f>CONCATENATE(LEFT(dados_01!E236,3),REPT("*",6),RIGHT(dados_01!E236,2))</f>
        <v>005******59</v>
      </c>
      <c r="F236" s="3" t="str">
        <f>dados_01!F236</f>
        <v>INFANTIL 1</v>
      </c>
      <c r="G236" s="3" t="str">
        <f>dados_01!G236</f>
        <v>CRECHE CIRANDA CIRANDINHA</v>
      </c>
      <c r="H236" s="3" t="str">
        <f>dados_01!H236</f>
        <v>REGIONAL 1</v>
      </c>
      <c r="I236" s="3">
        <f>dados_01!I236</f>
        <v>0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 spans="1:26">
      <c r="A237" s="3" t="str">
        <f>dados_01!A237</f>
        <v>02/02/2026 14:50:25</v>
      </c>
      <c r="B237" s="3" t="str">
        <f>dados_01!B237</f>
        <v>1</v>
      </c>
      <c r="C237" s="3" t="str">
        <f>IFERROR(__xludf.dummyfunction("JOIN("". "", ARRAYFORMULA(IFERROR(LEFT(SPLIT(dados_01!C237, "" ""), 1))))"),"A. T. A. M. D. M")</f>
        <v>A. T. A. M. D. M</v>
      </c>
      <c r="D237" s="3" t="str">
        <f>dados_01!D237</f>
        <v>04/10/2023</v>
      </c>
      <c r="E237" s="3" t="str">
        <f>CONCATENATE(LEFT(dados_01!E237,3),REPT("*",6),RIGHT(dados_01!E237,2))</f>
        <v>000******96</v>
      </c>
      <c r="F237" s="3" t="str">
        <f>dados_01!F237</f>
        <v>INFANTIL 2</v>
      </c>
      <c r="G237" s="3" t="str">
        <f>dados_01!G237</f>
        <v>CRECHE CIRANDA CIRANDINHA</v>
      </c>
      <c r="H237" s="3" t="str">
        <f>dados_01!H237</f>
        <v>REGIONAL 1</v>
      </c>
      <c r="I237" s="3">
        <f>dados_01!I237</f>
        <v>0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 spans="1:26">
      <c r="A238" s="3" t="str">
        <f>dados_01!A238</f>
        <v>09/02/2026 08:21:00</v>
      </c>
      <c r="B238" s="3" t="str">
        <f>dados_01!B238</f>
        <v>2</v>
      </c>
      <c r="C238" s="3" t="str">
        <f>IFERROR(__xludf.dummyfunction("JOIN("". "", ARRAYFORMULA(IFERROR(LEFT(SPLIT(dados_01!C238, "" ""), 1))))"),"E. V. G. V")</f>
        <v>E. V. G. V</v>
      </c>
      <c r="D238" s="3" t="str">
        <f>dados_01!D238</f>
        <v>15/07/2023</v>
      </c>
      <c r="E238" s="3" t="str">
        <f>CONCATENATE(LEFT(dados_01!E238,3),REPT("*",6),RIGHT(dados_01!E238,2))</f>
        <v>186******70</v>
      </c>
      <c r="F238" s="3" t="str">
        <f>dados_01!F238</f>
        <v>INFANTIL 2</v>
      </c>
      <c r="G238" s="3" t="str">
        <f>dados_01!G238</f>
        <v>CRECHE CIRANDA CIRANDINHA</v>
      </c>
      <c r="H238" s="3" t="str">
        <f>dados_01!H238</f>
        <v>REGIONAL 1</v>
      </c>
      <c r="I238" s="3">
        <f>dados_01!I238</f>
        <v>0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 spans="1:26">
      <c r="A239" s="3" t="str">
        <f>dados_01!A239</f>
        <v>22/09/2026 14:54:21</v>
      </c>
      <c r="B239" s="3" t="str">
        <f>dados_01!B239</f>
        <v>3</v>
      </c>
      <c r="C239" s="3" t="str">
        <f>IFERROR(__xludf.dummyfunction("JOIN("". "", ARRAYFORMULA(IFERROR(LEFT(SPLIT(dados_01!C239, "" ""), 1))))"),"A. H. D. S. N")</f>
        <v>A. H. D. S. N</v>
      </c>
      <c r="D239" s="3" t="str">
        <f>dados_01!D239</f>
        <v>30/07/2023</v>
      </c>
      <c r="E239" s="3" t="str">
        <f>CONCATENATE(LEFT(dados_01!E239,3),REPT("*",6),RIGHT(dados_01!E239,2))</f>
        <v>000******08</v>
      </c>
      <c r="F239" s="3" t="str">
        <f>dados_01!F239</f>
        <v>INFANTIL 2</v>
      </c>
      <c r="G239" s="3" t="str">
        <f>dados_01!G239</f>
        <v>CRECHE CIRANDA CIRANDINHA</v>
      </c>
      <c r="H239" s="3" t="str">
        <f>dados_01!H239</f>
        <v>REGIONAL 1</v>
      </c>
      <c r="I239" s="3">
        <f>dados_01!I239</f>
        <v>0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 spans="1:26">
      <c r="A240" s="3" t="str">
        <f>dados_01!A240</f>
        <v>26/02/2026 23:38:28</v>
      </c>
      <c r="B240" s="3" t="str">
        <f>dados_01!B240</f>
        <v>1</v>
      </c>
      <c r="C240" s="3" t="str">
        <f>IFERROR(__xludf.dummyfunction("JOIN("". "", ARRAYFORMULA(IFERROR(LEFT(SPLIT(dados_01!C240, "" ""), 1))))"),"C. E. D. S. R")</f>
        <v>C. E. D. S. R</v>
      </c>
      <c r="D240" s="3" t="str">
        <f>dados_01!D240</f>
        <v>04/06/2022</v>
      </c>
      <c r="E240" s="3" t="str">
        <f>CONCATENATE(LEFT(dados_01!E240,3),REPT("*",6),RIGHT(dados_01!E240,2))</f>
        <v>181******48</v>
      </c>
      <c r="F240" s="3" t="str">
        <f>dados_01!F240</f>
        <v>INFANTIL 3</v>
      </c>
      <c r="G240" s="3" t="str">
        <f>dados_01!G240</f>
        <v>CRECHE CIRANDA CIRANDINHA</v>
      </c>
      <c r="H240" s="3" t="str">
        <f>dados_01!H240</f>
        <v>REGIONAL 1</v>
      </c>
      <c r="I240" s="3">
        <f>dados_01!I240</f>
        <v>0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 spans="1:26">
      <c r="A241" s="3" t="str">
        <f>dados_01!A241</f>
        <v>24/03/2026 10:37:29</v>
      </c>
      <c r="B241" s="3" t="str">
        <f>dados_01!B241</f>
        <v>2</v>
      </c>
      <c r="C241" s="3" t="str">
        <f>IFERROR(__xludf.dummyfunction("JOIN("". "", ARRAYFORMULA(IFERROR(LEFT(SPLIT(dados_01!C241, "" ""), 1))))"),"R. M. S. C. F")</f>
        <v>R. M. S. C. F</v>
      </c>
      <c r="D241" s="3" t="str">
        <f>dados_01!D241</f>
        <v>20/08/2022</v>
      </c>
      <c r="E241" s="3" t="str">
        <f>CONCATENATE(LEFT(dados_01!E241,3),REPT("*",6),RIGHT(dados_01!E241,2))</f>
        <v>182******17</v>
      </c>
      <c r="F241" s="3" t="str">
        <f>dados_01!F241</f>
        <v>INFANTIL 3</v>
      </c>
      <c r="G241" s="3" t="str">
        <f>dados_01!G241</f>
        <v>CRECHE CIRANDA CIRANDINHA</v>
      </c>
      <c r="H241" s="3" t="str">
        <f>dados_01!H241</f>
        <v>REGIONAL 1</v>
      </c>
      <c r="I241" s="3">
        <f>dados_01!I241</f>
        <v>0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 spans="1:26">
      <c r="A242" s="3" t="str">
        <f>dados_01!A242</f>
        <v>23/04/2026 12:52:15</v>
      </c>
      <c r="B242" s="3" t="str">
        <f>dados_01!B242</f>
        <v>3</v>
      </c>
      <c r="C242" s="3" t="str">
        <f>IFERROR(__xludf.dummyfunction("JOIN("". "", ARRAYFORMULA(IFERROR(LEFT(SPLIT(dados_01!C242, "" ""), 1))))"),"Y. M. D. S. G")</f>
        <v>Y. M. D. S. G</v>
      </c>
      <c r="D242" s="3" t="str">
        <f>dados_01!D242</f>
        <v>20/05/2022</v>
      </c>
      <c r="E242" s="3" t="str">
        <f>CONCATENATE(LEFT(dados_01!E242,3),REPT("*",6),RIGHT(dados_01!E242,2))</f>
        <v>181******04</v>
      </c>
      <c r="F242" s="3" t="str">
        <f>dados_01!F242</f>
        <v>INFANTIL 3</v>
      </c>
      <c r="G242" s="3" t="str">
        <f>dados_01!G242</f>
        <v>CRECHE CIRANDA CIRANDINHA</v>
      </c>
      <c r="H242" s="3" t="str">
        <f>dados_01!H242</f>
        <v>REGIONAL 1</v>
      </c>
      <c r="I242" s="3">
        <f>dados_01!I242</f>
        <v>0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 spans="1:26">
      <c r="A243" s="3" t="str">
        <f>dados_01!A243</f>
        <v>11/04/2026 18:35:35</v>
      </c>
      <c r="B243" s="3" t="str">
        <f>dados_01!B243</f>
        <v>1</v>
      </c>
      <c r="C243" s="3" t="str">
        <f>IFERROR(__xludf.dummyfunction("JOIN("". "", ARRAYFORMULA(IFERROR(LEFT(SPLIT(dados_01!C243, "" ""), 1))))"),"E. G. O. D. S")</f>
        <v>E. G. O. D. S</v>
      </c>
      <c r="D243" s="3" t="str">
        <f>dados_01!D243</f>
        <v>24/08/2025</v>
      </c>
      <c r="E243" s="3" t="str">
        <f>CONCATENATE(LEFT(dados_01!E243,3),REPT("*",6),RIGHT(dados_01!E243,2))</f>
        <v>713******82</v>
      </c>
      <c r="F243" s="3" t="str">
        <f>dados_01!F243</f>
        <v>INFANTIL 1</v>
      </c>
      <c r="G243" s="3" t="str">
        <f>dados_01!G243</f>
        <v>CRECHE MERCIA DE ALBUQUERQUE</v>
      </c>
      <c r="H243" s="3" t="str">
        <f>dados_01!H243</f>
        <v>REGIONAL 6</v>
      </c>
      <c r="I243" s="3">
        <f>dados_01!I243</f>
        <v>0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 spans="1:26">
      <c r="A244" s="3" t="str">
        <f>dados_01!A244</f>
        <v>04/05/2026 08:16:27</v>
      </c>
      <c r="B244" s="3" t="str">
        <f>dados_01!B244</f>
        <v>2</v>
      </c>
      <c r="C244" s="3" t="str">
        <f>IFERROR(__xludf.dummyfunction("JOIN("". "", ARRAYFORMULA(IFERROR(LEFT(SPLIT(dados_01!C244, "" ""), 1))))"),"K. C. T. L. B")</f>
        <v>K. C. T. L. B</v>
      </c>
      <c r="D244" s="3" t="str">
        <f>dados_01!D244</f>
        <v>24/08/2024</v>
      </c>
      <c r="E244" s="3" t="str">
        <f>CONCATENATE(LEFT(dados_01!E244,3),REPT("*",6),RIGHT(dados_01!E244,2))</f>
        <v>003******44</v>
      </c>
      <c r="F244" s="3" t="str">
        <f>dados_01!F244</f>
        <v>INFANTIL 1</v>
      </c>
      <c r="G244" s="3" t="str">
        <f>dados_01!G244</f>
        <v>CRECHE MERCIA DE ALBUQUERQUE</v>
      </c>
      <c r="H244" s="3" t="str">
        <f>dados_01!H244</f>
        <v>REGIONAL 6</v>
      </c>
      <c r="I244" s="3">
        <f>dados_01!I244</f>
        <v>0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 spans="1:26">
      <c r="A245" s="3" t="str">
        <f>dados_01!A245</f>
        <v>21/05/2026 14:53:13</v>
      </c>
      <c r="B245" s="3" t="str">
        <f>dados_01!B245</f>
        <v>3</v>
      </c>
      <c r="C245" s="3" t="str">
        <f>IFERROR(__xludf.dummyfunction("JOIN("". "", ARRAYFORMULA(IFERROR(LEFT(SPLIT(dados_01!C245, "" ""), 1))))"),"E. P. d. M. F")</f>
        <v>E. P. d. M. F</v>
      </c>
      <c r="D245" s="3" t="str">
        <f>dados_01!D245</f>
        <v>30/12/2025</v>
      </c>
      <c r="E245" s="3" t="str">
        <f>CONCATENATE(LEFT(dados_01!E245,3),REPT("*",6),RIGHT(dados_01!E245,2))</f>
        <v>034******72</v>
      </c>
      <c r="F245" s="3" t="str">
        <f>dados_01!F245</f>
        <v>INFANTIL 1</v>
      </c>
      <c r="G245" s="3" t="str">
        <f>dados_01!G245</f>
        <v>CRECHE MERCIA DE ALBUQUERQUE</v>
      </c>
      <c r="H245" s="3" t="str">
        <f>dados_01!H245</f>
        <v>REGIONAL 6</v>
      </c>
      <c r="I245" s="3">
        <f>dados_01!I245</f>
        <v>0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 spans="1:26">
      <c r="A246" s="3" t="str">
        <f>dados_01!A246</f>
        <v>08/06/2026 13:47:18</v>
      </c>
      <c r="B246" s="3" t="str">
        <f>dados_01!B246</f>
        <v>4</v>
      </c>
      <c r="C246" s="3" t="str">
        <f>IFERROR(__xludf.dummyfunction("JOIN("". "", ARRAYFORMULA(IFERROR(LEFT(SPLIT(dados_01!C246, "" ""), 1))))"),"L. M. B. B")</f>
        <v>L. M. B. B</v>
      </c>
      <c r="D246" s="3" t="str">
        <f>dados_01!D246</f>
        <v>11/02/2025</v>
      </c>
      <c r="E246" s="3" t="str">
        <f>CONCATENATE(LEFT(dados_01!E246,3),REPT("*",6),RIGHT(dados_01!E246,2))</f>
        <v>005******01</v>
      </c>
      <c r="F246" s="3" t="str">
        <f>dados_01!F246</f>
        <v>INFANTIL 1</v>
      </c>
      <c r="G246" s="3" t="str">
        <f>dados_01!G246</f>
        <v>CRECHE MERCIA DE ALBUQUERQUE</v>
      </c>
      <c r="H246" s="3" t="str">
        <f>dados_01!H246</f>
        <v>REGIONAL 6</v>
      </c>
      <c r="I246" s="3">
        <f>dados_01!I246</f>
        <v>0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 spans="1:26">
      <c r="A247" s="3" t="str">
        <f>dados_01!A247</f>
        <v>13/07/2026 14:49:27</v>
      </c>
      <c r="B247" s="3" t="str">
        <f>dados_01!B247</f>
        <v>5</v>
      </c>
      <c r="C247" s="3" t="str">
        <f>IFERROR(__xludf.dummyfunction("JOIN("". "", ARRAYFORMULA(IFERROR(LEFT(SPLIT(dados_01!C247, "" ""), 1))))"),"S. A. D. S. S")</f>
        <v>S. A. D. S. S</v>
      </c>
      <c r="D247" s="3" t="str">
        <f>dados_01!D247</f>
        <v>30/04/2024</v>
      </c>
      <c r="E247" s="3" t="str">
        <f>CONCATENATE(LEFT(dados_01!E247,3),REPT("*",6),RIGHT(dados_01!E247,2))</f>
        <v>002******13</v>
      </c>
      <c r="F247" s="3" t="str">
        <f>dados_01!F247</f>
        <v>INFANTIL 1</v>
      </c>
      <c r="G247" s="3" t="str">
        <f>dados_01!G247</f>
        <v>CRECHE MERCIA DE ALBUQUERQUE</v>
      </c>
      <c r="H247" s="3" t="str">
        <f>dados_01!H247</f>
        <v>REGIONAL 6</v>
      </c>
      <c r="I247" s="3">
        <f>dados_01!I247</f>
        <v>0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 spans="1:26">
      <c r="A248" s="3" t="str">
        <f>dados_01!A248</f>
        <v>03/08/2026 09:52:52</v>
      </c>
      <c r="B248" s="3" t="str">
        <f>dados_01!B248</f>
        <v>6</v>
      </c>
      <c r="C248" s="3" t="str">
        <f>IFERROR(__xludf.dummyfunction("JOIN("". "", ARRAYFORMULA(IFERROR(LEFT(SPLIT(dados_01!C248, "" ""), 1))))"),"V. C. B")</f>
        <v>V. C. B</v>
      </c>
      <c r="D248" s="3" t="str">
        <f>dados_01!D248</f>
        <v>19/08/2025</v>
      </c>
      <c r="E248" s="3" t="str">
        <f>CONCATENATE(LEFT(dados_01!E248,3),REPT("*",6),RIGHT(dados_01!E248,2))</f>
        <v>007******51</v>
      </c>
      <c r="F248" s="3" t="str">
        <f>dados_01!F248</f>
        <v>INFANTIL 1</v>
      </c>
      <c r="G248" s="3" t="str">
        <f>dados_01!G248</f>
        <v>CRECHE MERCIA DE ALBUQUERQUE</v>
      </c>
      <c r="H248" s="3" t="str">
        <f>dados_01!H248</f>
        <v>REGIONAL 6</v>
      </c>
      <c r="I248" s="3">
        <f>dados_01!I248</f>
        <v>0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 spans="1:26">
      <c r="A249" s="3" t="str">
        <f>dados_01!A249</f>
        <v>26/08/2026 17:16:19</v>
      </c>
      <c r="B249" s="3" t="str">
        <f>dados_01!B249</f>
        <v>7</v>
      </c>
      <c r="C249" s="3" t="str">
        <f>IFERROR(__xludf.dummyfunction("JOIN("". "", ARRAYFORMULA(IFERROR(LEFT(SPLIT(dados_01!C249, "" ""), 1))))"),"L. G. L. d. S")</f>
        <v>L. G. L. d. S</v>
      </c>
      <c r="D249" s="3" t="str">
        <f>dados_01!D249</f>
        <v>15/06/2024</v>
      </c>
      <c r="E249" s="3" t="str">
        <f>CONCATENATE(LEFT(dados_01!E249,3),REPT("*",6),RIGHT(dados_01!E249,2))</f>
        <v>003******69</v>
      </c>
      <c r="F249" s="3" t="str">
        <f>dados_01!F249</f>
        <v>INFANTIL 1</v>
      </c>
      <c r="G249" s="3" t="str">
        <f>dados_01!G249</f>
        <v>CRECHE MERCIA DE ALBUQUERQUE</v>
      </c>
      <c r="H249" s="3" t="str">
        <f>dados_01!H249</f>
        <v>REGIONAL 6</v>
      </c>
      <c r="I249" s="3">
        <f>dados_01!I249</f>
        <v>0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 spans="1:26">
      <c r="A250" s="3" t="str">
        <f>dados_01!A250</f>
        <v>28/08/2026 12:21:08</v>
      </c>
      <c r="B250" s="3" t="str">
        <f>dados_01!B250</f>
        <v>8</v>
      </c>
      <c r="C250" s="3" t="str">
        <f>IFERROR(__xludf.dummyfunction("JOIN("". "", ARRAYFORMULA(IFERROR(LEFT(SPLIT(dados_01!C250, "" ""), 1))))"),"M. H. d. s. n")</f>
        <v>M. H. d. s. n</v>
      </c>
      <c r="D250" s="3" t="str">
        <f>dados_01!D250</f>
        <v>13/01/2026</v>
      </c>
      <c r="E250" s="3" t="str">
        <f>CONCATENATE(LEFT(dados_01!E250,3),REPT("*",6),RIGHT(dados_01!E250,2))</f>
        <v>071******04</v>
      </c>
      <c r="F250" s="3" t="str">
        <f>dados_01!F250</f>
        <v>INFANTIL 1</v>
      </c>
      <c r="G250" s="3" t="str">
        <f>dados_01!G250</f>
        <v>CRECHE MERCIA DE ALBUQUERQUE</v>
      </c>
      <c r="H250" s="3" t="str">
        <f>dados_01!H250</f>
        <v>REGIONAL 6</v>
      </c>
      <c r="I250" s="3">
        <f>dados_01!I250</f>
        <v>0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 spans="1:26">
      <c r="A251" s="3" t="str">
        <f>dados_01!A251</f>
        <v>04/09/2026 16:38:23</v>
      </c>
      <c r="B251" s="3" t="str">
        <f>dados_01!B251</f>
        <v>9</v>
      </c>
      <c r="C251" s="3" t="str">
        <f>IFERROR(__xludf.dummyfunction("JOIN("". "", ARRAYFORMULA(IFERROR(LEFT(SPLIT(dados_01!C251, "" ""), 1))))"),"M. H. T. D. S")</f>
        <v>M. H. T. D. S</v>
      </c>
      <c r="D251" s="3" t="str">
        <f>dados_01!D251</f>
        <v>19/09/2025</v>
      </c>
      <c r="E251" s="3" t="str">
        <f>CONCATENATE(LEFT(dados_01!E251,3),REPT("*",6),RIGHT(dados_01!E251,2))</f>
        <v>010******63</v>
      </c>
      <c r="F251" s="3" t="str">
        <f>dados_01!F251</f>
        <v>INFANTIL 1</v>
      </c>
      <c r="G251" s="3" t="str">
        <f>dados_01!G251</f>
        <v>CRECHE MERCIA DE ALBUQUERQUE</v>
      </c>
      <c r="H251" s="3" t="str">
        <f>dados_01!H251</f>
        <v>REGIONAL 6</v>
      </c>
      <c r="I251" s="3">
        <f>dados_01!I251</f>
        <v>0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 spans="1:26">
      <c r="A252" s="3" t="str">
        <f>dados_01!A252</f>
        <v>02/03/2026 15:50:23</v>
      </c>
      <c r="B252" s="3" t="str">
        <f>dados_01!B252</f>
        <v>1</v>
      </c>
      <c r="C252" s="3" t="str">
        <f>IFERROR(__xludf.dummyfunction("JOIN("". "", ARRAYFORMULA(IFERROR(LEFT(SPLIT(dados_01!C252, "" ""), 1))))"),"J. H. D. S. F")</f>
        <v>J. H. D. S. F</v>
      </c>
      <c r="D252" s="3" t="str">
        <f>dados_01!D252</f>
        <v>25/07/2023</v>
      </c>
      <c r="E252" s="3" t="str">
        <f>CONCATENATE(LEFT(dados_01!E252,3),REPT("*",6),RIGHT(dados_01!E252,2))</f>
        <v>186******29</v>
      </c>
      <c r="F252" s="3" t="str">
        <f>dados_01!F252</f>
        <v>INFANTIL 2</v>
      </c>
      <c r="G252" s="3" t="str">
        <f>dados_01!G252</f>
        <v>CRECHE MERCIA DE ALBUQUERQUE</v>
      </c>
      <c r="H252" s="3" t="str">
        <f>dados_01!H252</f>
        <v>REGIONAL 6</v>
      </c>
      <c r="I252" s="3">
        <f>dados_01!I252</f>
        <v>0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 spans="1:26">
      <c r="A253" s="3" t="str">
        <f>dados_01!A253</f>
        <v>11/03/2026 07:47:14</v>
      </c>
      <c r="B253" s="3" t="str">
        <f>dados_01!B253</f>
        <v>2</v>
      </c>
      <c r="C253" s="3" t="str">
        <f>IFERROR(__xludf.dummyfunction("JOIN("". "", ARRAYFORMULA(IFERROR(LEFT(SPLIT(dados_01!C253, "" ""), 1))))"),"T. D. B. D. S")</f>
        <v>T. D. B. D. S</v>
      </c>
      <c r="D253" s="3" t="str">
        <f>dados_01!D253</f>
        <v>22/09/2023</v>
      </c>
      <c r="E253" s="3" t="str">
        <f>CONCATENATE(LEFT(dados_01!E253,3),REPT("*",6),RIGHT(dados_01!E253,2))</f>
        <v>000******40</v>
      </c>
      <c r="F253" s="3" t="str">
        <f>dados_01!F253</f>
        <v>INFANTIL 2</v>
      </c>
      <c r="G253" s="3" t="str">
        <f>dados_01!G253</f>
        <v>CRECHE MERCIA DE ALBUQUERQUE</v>
      </c>
      <c r="H253" s="3" t="str">
        <f>dados_01!H253</f>
        <v>REGIONAL 6</v>
      </c>
      <c r="I253" s="3">
        <f>dados_01!I253</f>
        <v>0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 spans="1:26">
      <c r="A254" s="3" t="str">
        <f>dados_01!A254</f>
        <v>25/03/2026 13:04:37</v>
      </c>
      <c r="B254" s="3" t="str">
        <f>dados_01!B254</f>
        <v>3</v>
      </c>
      <c r="C254" s="3" t="str">
        <f>IFERROR(__xludf.dummyfunction("JOIN("". "", ARRAYFORMULA(IFERROR(LEFT(SPLIT(dados_01!C254, "" ""), 1))))"),"B. L. S. D. S")</f>
        <v>B. L. S. D. S</v>
      </c>
      <c r="D254" s="3" t="str">
        <f>dados_01!D254</f>
        <v>14/10/2023</v>
      </c>
      <c r="E254" s="3" t="str">
        <f>CONCATENATE(LEFT(dados_01!E254,3),REPT("*",6),RIGHT(dados_01!E254,2))</f>
        <v>000******08</v>
      </c>
      <c r="F254" s="3" t="str">
        <f>dados_01!F254</f>
        <v>INFANTIL 2</v>
      </c>
      <c r="G254" s="3" t="str">
        <f>dados_01!G254</f>
        <v>CRECHE MERCIA DE ALBUQUERQUE</v>
      </c>
      <c r="H254" s="3" t="str">
        <f>dados_01!H254</f>
        <v>REGIONAL 6</v>
      </c>
      <c r="I254" s="3">
        <f>dados_01!I254</f>
        <v>0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 spans="1:26">
      <c r="A255" s="3" t="str">
        <f>dados_01!A255</f>
        <v>15/07/2026 09:23:58</v>
      </c>
      <c r="B255" s="3" t="str">
        <f>dados_01!B255</f>
        <v>4</v>
      </c>
      <c r="C255" s="3" t="str">
        <f>IFERROR(__xludf.dummyfunction("JOIN("". "", ARRAYFORMULA(IFERROR(LEFT(SPLIT(dados_01!C255, "" ""), 1))))"),"G. d. S. B")</f>
        <v>G. d. S. B</v>
      </c>
      <c r="D255" s="3" t="str">
        <f>dados_01!D255</f>
        <v>01/08/2023</v>
      </c>
      <c r="E255" s="3" t="str">
        <f>CONCATENATE(LEFT(dados_01!E255,3),REPT("*",6),RIGHT(dados_01!E255,2))</f>
        <v>186******01</v>
      </c>
      <c r="F255" s="3" t="str">
        <f>dados_01!F255</f>
        <v>INFANTIL 2</v>
      </c>
      <c r="G255" s="3" t="str">
        <f>dados_01!G255</f>
        <v>CRECHE MERCIA DE ALBUQUERQUE</v>
      </c>
      <c r="H255" s="3" t="str">
        <f>dados_01!H255</f>
        <v>REGIONAL 6</v>
      </c>
      <c r="I255" s="3">
        <f>dados_01!I255</f>
        <v>0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 spans="1:26">
      <c r="A256" s="3" t="str">
        <f>dados_01!A256</f>
        <v>23/07/2026 11:19:34</v>
      </c>
      <c r="B256" s="3" t="str">
        <f>dados_01!B256</f>
        <v>5</v>
      </c>
      <c r="C256" s="3" t="str">
        <f>IFERROR(__xludf.dummyfunction("JOIN("". "", ARRAYFORMULA(IFERROR(LEFT(SPLIT(dados_01!C256, "" ""), 1))))"),"J. P. P. X")</f>
        <v>J. P. P. X</v>
      </c>
      <c r="D256" s="3" t="str">
        <f>dados_01!D256</f>
        <v>16/03/2024</v>
      </c>
      <c r="E256" s="3" t="str">
        <f>CONCATENATE(LEFT(dados_01!E256,3),REPT("*",6),RIGHT(dados_01!E256,2))</f>
        <v>002******04</v>
      </c>
      <c r="F256" s="3" t="str">
        <f>dados_01!F256</f>
        <v>INFANTIL 2</v>
      </c>
      <c r="G256" s="3" t="str">
        <f>dados_01!G256</f>
        <v>CRECHE MERCIA DE ALBUQUERQUE</v>
      </c>
      <c r="H256" s="3" t="str">
        <f>dados_01!H256</f>
        <v>REGIONAL 6</v>
      </c>
      <c r="I256" s="3">
        <f>dados_01!I256</f>
        <v>0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 spans="1:26">
      <c r="A257" s="3" t="str">
        <f>dados_01!A257</f>
        <v>23/09/2026 16:09:51</v>
      </c>
      <c r="B257" s="3" t="str">
        <f>dados_01!B257</f>
        <v>6</v>
      </c>
      <c r="C257" s="3" t="str">
        <f>IFERROR(__xludf.dummyfunction("JOIN("". "", ARRAYFORMULA(IFERROR(LEFT(SPLIT(dados_01!C257, "" ""), 1))))"),"A. M. d. S. G")</f>
        <v>A. M. d. S. G</v>
      </c>
      <c r="D257" s="3" t="str">
        <f>dados_01!D257</f>
        <v>07/11/2023</v>
      </c>
      <c r="E257" s="3" t="str">
        <f>CONCATENATE(LEFT(dados_01!E257,3),REPT("*",6),RIGHT(dados_01!E257,2))</f>
        <v>000******30</v>
      </c>
      <c r="F257" s="3" t="str">
        <f>dados_01!F257</f>
        <v>INFANTIL 2</v>
      </c>
      <c r="G257" s="3" t="str">
        <f>dados_01!G257</f>
        <v>CRECHE MERCIA DE ALBUQUERQUE</v>
      </c>
      <c r="H257" s="3" t="str">
        <f>dados_01!H257</f>
        <v>REGIONAL 6</v>
      </c>
      <c r="I257" s="3">
        <f>dados_01!I257</f>
        <v>0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 spans="1:26">
      <c r="A258" s="3" t="str">
        <f>dados_01!A258</f>
        <v>29/01/2026 13:35:30</v>
      </c>
      <c r="B258" s="3" t="str">
        <f>dados_01!B258</f>
        <v>1</v>
      </c>
      <c r="C258" s="3" t="str">
        <f>IFERROR(__xludf.dummyfunction("JOIN("". "", ARRAYFORMULA(IFERROR(LEFT(SPLIT(dados_01!C258, "" ""), 1))))"),"J. D. D. S")</f>
        <v>J. D. D. S</v>
      </c>
      <c r="D258" s="3" t="str">
        <f>dados_01!D258</f>
        <v>26/08/2024</v>
      </c>
      <c r="E258" s="3" t="str">
        <f>CONCATENATE(LEFT(dados_01!E258,3),REPT("*",6),RIGHT(dados_01!E258,2))</f>
        <v>003******39</v>
      </c>
      <c r="F258" s="3" t="str">
        <f>dados_01!F258</f>
        <v>INFANTIL 1</v>
      </c>
      <c r="G258" s="3" t="str">
        <f>dados_01!G258</f>
        <v>CRECHE MUNDO ENCANTADO</v>
      </c>
      <c r="H258" s="3" t="str">
        <f>dados_01!H258</f>
        <v>REGIONAL 3</v>
      </c>
      <c r="I258" s="3">
        <f>dados_01!I258</f>
        <v>0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 spans="1:26">
      <c r="A259" s="3" t="str">
        <f>dados_01!A259</f>
        <v>29/01/2026 14:12:29</v>
      </c>
      <c r="B259" s="3" t="str">
        <f>dados_01!B259</f>
        <v>2</v>
      </c>
      <c r="C259" s="3" t="str">
        <f>IFERROR(__xludf.dummyfunction("JOIN("". "", ARRAYFORMULA(IFERROR(LEFT(SPLIT(dados_01!C259, "" ""), 1))))"),"J. F. B. D. S. C")</f>
        <v>J. F. B. D. S. C</v>
      </c>
      <c r="D259" s="3" t="str">
        <f>dados_01!D259</f>
        <v>13/03/2025</v>
      </c>
      <c r="E259" s="3" t="str">
        <f>CONCATENATE(LEFT(dados_01!E259,3),REPT("*",6),RIGHT(dados_01!E259,2))</f>
        <v>006******02</v>
      </c>
      <c r="F259" s="3" t="str">
        <f>dados_01!F259</f>
        <v>INFANTIL 1</v>
      </c>
      <c r="G259" s="3" t="str">
        <f>dados_01!G259</f>
        <v>CRECHE MUNDO ENCANTADO</v>
      </c>
      <c r="H259" s="3" t="str">
        <f>dados_01!H259</f>
        <v>REGIONAL 3</v>
      </c>
      <c r="I259" s="3">
        <f>dados_01!I259</f>
        <v>0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 spans="1:26">
      <c r="A260" s="3" t="str">
        <f>dados_01!A260</f>
        <v>19/02/2026 21:16:01</v>
      </c>
      <c r="B260" s="3" t="str">
        <f>dados_01!B260</f>
        <v>3</v>
      </c>
      <c r="C260" s="3" t="str">
        <f>IFERROR(__xludf.dummyfunction("JOIN("". "", ARRAYFORMULA(IFERROR(LEFT(SPLIT(dados_01!C260, "" ""), 1))))"),"H. A. D. S")</f>
        <v>H. A. D. S</v>
      </c>
      <c r="D260" s="3" t="str">
        <f>dados_01!D260</f>
        <v>19/05/2024</v>
      </c>
      <c r="E260" s="3" t="str">
        <f>CONCATENATE(LEFT(dados_01!E260,3),REPT("*",6),RIGHT(dados_01!E260,2))</f>
        <v>003******24</v>
      </c>
      <c r="F260" s="3" t="str">
        <f>dados_01!F260</f>
        <v>INFANTIL 1</v>
      </c>
      <c r="G260" s="3" t="str">
        <f>dados_01!G260</f>
        <v>CRECHE MUNDO ENCANTADO</v>
      </c>
      <c r="H260" s="3" t="str">
        <f>dados_01!H260</f>
        <v>REGIONAL 3</v>
      </c>
      <c r="I260" s="3">
        <f>dados_01!I260</f>
        <v>0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 spans="1:26">
      <c r="A261" s="3" t="str">
        <f>dados_01!A261</f>
        <v>28/02/2026 20:58:43</v>
      </c>
      <c r="B261" s="3" t="str">
        <f>dados_01!B261</f>
        <v>4</v>
      </c>
      <c r="C261" s="3" t="str">
        <f>IFERROR(__xludf.dummyfunction("JOIN("". "", ARRAYFORMULA(IFERROR(LEFT(SPLIT(dados_01!C261, "" ""), 1))))"),"L. G. P. D. S")</f>
        <v>L. G. P. D. S</v>
      </c>
      <c r="D261" s="3" t="str">
        <f>dados_01!D261</f>
        <v>12/04/2025</v>
      </c>
      <c r="E261" s="3" t="str">
        <f>CONCATENATE(LEFT(dados_01!E261,3),REPT("*",6),RIGHT(dados_01!E261,2))</f>
        <v>005******46</v>
      </c>
      <c r="F261" s="3" t="str">
        <f>dados_01!F261</f>
        <v>INFANTIL 1</v>
      </c>
      <c r="G261" s="3" t="str">
        <f>dados_01!G261</f>
        <v>CRECHE MUNDO ENCANTADO</v>
      </c>
      <c r="H261" s="3" t="str">
        <f>dados_01!H261</f>
        <v>REGIONAL 3</v>
      </c>
      <c r="I261" s="3">
        <f>dados_01!I261</f>
        <v>0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 spans="1:26">
      <c r="A262" s="3" t="str">
        <f>dados_01!A262</f>
        <v>28/04/2026 11:00:10</v>
      </c>
      <c r="B262" s="3" t="str">
        <f>dados_01!B262</f>
        <v>5</v>
      </c>
      <c r="C262" s="3" t="str">
        <f>IFERROR(__xludf.dummyfunction("JOIN("". "", ARRAYFORMULA(IFERROR(LEFT(SPLIT(dados_01!C262, "" ""), 1))))"),"M. G. S. G")</f>
        <v>M. G. S. G</v>
      </c>
      <c r="D262" s="3" t="str">
        <f>dados_01!D262</f>
        <v>11/04/2025</v>
      </c>
      <c r="E262" s="3" t="str">
        <f>CONCATENATE(LEFT(dados_01!E262,3),REPT("*",6),RIGHT(dados_01!E262,2))</f>
        <v>005******19</v>
      </c>
      <c r="F262" s="3" t="str">
        <f>dados_01!F262</f>
        <v>INFANTIL 1</v>
      </c>
      <c r="G262" s="3" t="str">
        <f>dados_01!G262</f>
        <v>CRECHE MUNDO ENCANTADO</v>
      </c>
      <c r="H262" s="3" t="str">
        <f>dados_01!H262</f>
        <v>REGIONAL 3</v>
      </c>
      <c r="I262" s="3">
        <f>dados_01!I262</f>
        <v>0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 spans="1:26">
      <c r="A263" s="3" t="str">
        <f>dados_01!A263</f>
        <v>25/05/2026 18:39:15</v>
      </c>
      <c r="B263" s="3" t="str">
        <f>dados_01!B263</f>
        <v>6</v>
      </c>
      <c r="C263" s="3" t="str">
        <f>IFERROR(__xludf.dummyfunction("JOIN("". "", ARRAYFORMULA(IFERROR(LEFT(SPLIT(dados_01!C263, "" ""), 1))))"),"M. Y. R. M. V")</f>
        <v>M. Y. R. M. V</v>
      </c>
      <c r="D263" s="3" t="str">
        <f>dados_01!D263</f>
        <v>29/12/2024</v>
      </c>
      <c r="E263" s="3" t="str">
        <f>CONCATENATE(LEFT(dados_01!E263,3),REPT("*",6),RIGHT(dados_01!E263,2))</f>
        <v>004******67</v>
      </c>
      <c r="F263" s="3" t="str">
        <f>dados_01!F263</f>
        <v>INFANTIL 1</v>
      </c>
      <c r="G263" s="3" t="str">
        <f>dados_01!G263</f>
        <v>CRECHE MUNDO ENCANTADO</v>
      </c>
      <c r="H263" s="3" t="str">
        <f>dados_01!H263</f>
        <v>REGIONAL 3</v>
      </c>
      <c r="I263" s="3">
        <f>dados_01!I263</f>
        <v>0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 spans="1:26">
      <c r="A264" s="3" t="str">
        <f>dados_01!A264</f>
        <v>09/07/2026 11:02:23</v>
      </c>
      <c r="B264" s="3" t="str">
        <f>dados_01!B264</f>
        <v>7</v>
      </c>
      <c r="C264" s="3" t="str">
        <f>IFERROR(__xludf.dummyfunction("JOIN("". "", ARRAYFORMULA(IFERROR(LEFT(SPLIT(dados_01!C264, "" ""), 1))))"),"M. H. S. d. m")</f>
        <v>M. H. S. d. m</v>
      </c>
      <c r="D264" s="3" t="str">
        <f>dados_01!D264</f>
        <v>18/08/2024</v>
      </c>
      <c r="E264" s="3" t="str">
        <f>CONCATENATE(LEFT(dados_01!E264,3),REPT("*",6),RIGHT(dados_01!E264,2))</f>
        <v>003******22</v>
      </c>
      <c r="F264" s="3" t="str">
        <f>dados_01!F264</f>
        <v>INFANTIL 1</v>
      </c>
      <c r="G264" s="3" t="str">
        <f>dados_01!G264</f>
        <v>CRECHE MUNDO ENCANTADO</v>
      </c>
      <c r="H264" s="3" t="str">
        <f>dados_01!H264</f>
        <v>REGIONAL 3</v>
      </c>
      <c r="I264" s="3">
        <f>dados_01!I264</f>
        <v>0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 spans="1:26">
      <c r="A265" s="3" t="str">
        <f>dados_01!A265</f>
        <v>03/08/2026 15:31:56</v>
      </c>
      <c r="B265" s="3" t="str">
        <f>dados_01!B265</f>
        <v>8</v>
      </c>
      <c r="C265" s="3" t="str">
        <f>IFERROR(__xludf.dummyfunction("JOIN("". "", ARRAYFORMULA(IFERROR(LEFT(SPLIT(dados_01!C265, "" ""), 1))))"),"T. G. N. D. S")</f>
        <v>T. G. N. D. S</v>
      </c>
      <c r="D265" s="3" t="str">
        <f>dados_01!D265</f>
        <v>29/06/2025</v>
      </c>
      <c r="E265" s="3" t="str">
        <f>CONCATENATE(LEFT(dados_01!E265,3),REPT("*",6),RIGHT(dados_01!E265,2))</f>
        <v>006******36</v>
      </c>
      <c r="F265" s="3" t="str">
        <f>dados_01!F265</f>
        <v>INFANTIL 1</v>
      </c>
      <c r="G265" s="3" t="str">
        <f>dados_01!G265</f>
        <v>CRECHE MUNDO ENCANTADO</v>
      </c>
      <c r="H265" s="3" t="str">
        <f>dados_01!H265</f>
        <v>REGIONAL 3</v>
      </c>
      <c r="I265" s="3">
        <f>dados_01!I265</f>
        <v>0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 spans="1:26">
      <c r="A266" s="3" t="str">
        <f>dados_01!A266</f>
        <v>12/08/2026 23:55:57</v>
      </c>
      <c r="B266" s="3" t="str">
        <f>dados_01!B266</f>
        <v>9</v>
      </c>
      <c r="C266" s="3" t="str">
        <f>IFERROR(__xludf.dummyfunction("JOIN("". "", ARRAYFORMULA(IFERROR(LEFT(SPLIT(dados_01!C266, "" ""), 1))))"),"M. L. A. B. d. S")</f>
        <v>M. L. A. B. d. S</v>
      </c>
      <c r="D266" s="3" t="str">
        <f>dados_01!D266</f>
        <v>11/10/2024</v>
      </c>
      <c r="E266" s="3" t="str">
        <f>CONCATENATE(LEFT(dados_01!E266,3),REPT("*",6),RIGHT(dados_01!E266,2))</f>
        <v>004******77</v>
      </c>
      <c r="F266" s="3" t="str">
        <f>dados_01!F266</f>
        <v>INFANTIL 1</v>
      </c>
      <c r="G266" s="3" t="str">
        <f>dados_01!G266</f>
        <v>CRECHE MUNDO ENCANTADO</v>
      </c>
      <c r="H266" s="3" t="str">
        <f>dados_01!H266</f>
        <v>REGIONAL 3</v>
      </c>
      <c r="I266" s="3">
        <f>dados_01!I266</f>
        <v>0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 spans="1:26">
      <c r="A267" s="3" t="str">
        <f>dados_01!A267</f>
        <v>15/09/2026 09:58:57</v>
      </c>
      <c r="B267" s="3" t="str">
        <f>dados_01!B267</f>
        <v>10</v>
      </c>
      <c r="C267" s="3" t="str">
        <f>IFERROR(__xludf.dummyfunction("JOIN("". "", ARRAYFORMULA(IFERROR(LEFT(SPLIT(dados_01!C267, "" ""), 1))))"),"E. J. S. G")</f>
        <v>E. J. S. G</v>
      </c>
      <c r="D267" s="3" t="str">
        <f>dados_01!D267</f>
        <v>22/07/2024</v>
      </c>
      <c r="E267" s="3" t="str">
        <f>CONCATENATE(LEFT(dados_01!E267,3),REPT("*",6),RIGHT(dados_01!E267,2))</f>
        <v>003******66</v>
      </c>
      <c r="F267" s="3" t="str">
        <f>dados_01!F267</f>
        <v>INFANTIL 1</v>
      </c>
      <c r="G267" s="3" t="str">
        <f>dados_01!G267</f>
        <v>CRECHE MUNDO ENCANTADO</v>
      </c>
      <c r="H267" s="3" t="str">
        <f>dados_01!H267</f>
        <v>REGIONAL 3</v>
      </c>
      <c r="I267" s="3">
        <f>dados_01!I267</f>
        <v>0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 spans="1:26">
      <c r="A268" s="3" t="str">
        <f>dados_01!A268</f>
        <v>21/09/2026 10:15:31</v>
      </c>
      <c r="B268" s="3" t="str">
        <f>dados_01!B268</f>
        <v>11</v>
      </c>
      <c r="C268" s="3" t="str">
        <f>IFERROR(__xludf.dummyfunction("JOIN("". "", ARRAYFORMULA(IFERROR(LEFT(SPLIT(dados_01!C268, "" ""), 1))))"),"R. P. S. d. N")</f>
        <v>R. P. S. d. N</v>
      </c>
      <c r="D268" s="3" t="str">
        <f>dados_01!D268</f>
        <v>27/11/2024</v>
      </c>
      <c r="E268" s="3" t="str">
        <f>CONCATENATE(LEFT(dados_01!E268,3),REPT("*",6),RIGHT(dados_01!E268,2))</f>
        <v>004******84</v>
      </c>
      <c r="F268" s="3" t="str">
        <f>dados_01!F268</f>
        <v>INFANTIL 1</v>
      </c>
      <c r="G268" s="3" t="str">
        <f>dados_01!G268</f>
        <v>CRECHE MUNDO ENCANTADO</v>
      </c>
      <c r="H268" s="3" t="str">
        <f>dados_01!H268</f>
        <v>REGIONAL 3</v>
      </c>
      <c r="I268" s="3">
        <f>dados_01!I268</f>
        <v>0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 spans="1:26">
      <c r="A269" s="3" t="str">
        <f>dados_01!A269</f>
        <v>23/02/2026 09:25:20</v>
      </c>
      <c r="B269" s="3" t="str">
        <f>dados_01!B269</f>
        <v>1</v>
      </c>
      <c r="C269" s="3" t="str">
        <f>IFERROR(__xludf.dummyfunction("JOIN("". "", ARRAYFORMULA(IFERROR(LEFT(SPLIT(dados_01!C269, "" ""), 1))))"),"L. E. C. D. O")</f>
        <v>L. E. C. D. O</v>
      </c>
      <c r="D269" s="3" t="str">
        <f>dados_01!D269</f>
        <v>08/07/2024</v>
      </c>
      <c r="E269" s="3" t="str">
        <f>CONCATENATE(LEFT(dados_01!E269,3),REPT("*",6),RIGHT(dados_01!E269,2))</f>
        <v>003******55</v>
      </c>
      <c r="F269" s="3" t="str">
        <f>dados_01!F269</f>
        <v>INFANTIL 1</v>
      </c>
      <c r="G269" s="3" t="str">
        <f>dados_01!G269</f>
        <v>CRECHE MUNICIPAL PROFESSORA MARIA RITA LINS MARTINS</v>
      </c>
      <c r="H269" s="3" t="str">
        <f>dados_01!H269</f>
        <v>REGIONAL 1</v>
      </c>
      <c r="I269" s="3">
        <f>dados_01!I269</f>
        <v>0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 spans="1:26">
      <c r="A270" s="3" t="str">
        <f>dados_01!A270</f>
        <v>23/02/2026 22:06:49</v>
      </c>
      <c r="B270" s="3" t="str">
        <f>dados_01!B270</f>
        <v>2</v>
      </c>
      <c r="C270" s="3" t="str">
        <f>IFERROR(__xludf.dummyfunction("JOIN("". "", ARRAYFORMULA(IFERROR(LEFT(SPLIT(dados_01!C270, "" ""), 1))))"),"B. S. S. D. S")</f>
        <v>B. S. S. D. S</v>
      </c>
      <c r="D270" s="3" t="str">
        <f>dados_01!D270</f>
        <v>13/09/2024</v>
      </c>
      <c r="E270" s="3" t="str">
        <f>CONCATENATE(LEFT(dados_01!E270,3),REPT("*",6),RIGHT(dados_01!E270,2))</f>
        <v>004******73</v>
      </c>
      <c r="F270" s="3" t="str">
        <f>dados_01!F270</f>
        <v>INFANTIL 1</v>
      </c>
      <c r="G270" s="3" t="str">
        <f>dados_01!G270</f>
        <v>CRECHE MUNICIPAL PROFESSORA MARIA RITA LINS MARTINS</v>
      </c>
      <c r="H270" s="3" t="str">
        <f>dados_01!H270</f>
        <v>REGIONAL 1</v>
      </c>
      <c r="I270" s="3">
        <f>dados_01!I270</f>
        <v>0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 spans="1:26">
      <c r="A271" s="3" t="str">
        <f>dados_01!A271</f>
        <v>24/02/2026 10:47:32</v>
      </c>
      <c r="B271" s="3" t="str">
        <f>dados_01!B271</f>
        <v>3</v>
      </c>
      <c r="C271" s="3" t="str">
        <f>IFERROR(__xludf.dummyfunction("JOIN("". "", ARRAYFORMULA(IFERROR(LEFT(SPLIT(dados_01!C271, "" ""), 1))))"),"M. H. D. S. M")</f>
        <v>M. H. D. S. M</v>
      </c>
      <c r="D271" s="3" t="str">
        <f>dados_01!D271</f>
        <v>17/08/2024</v>
      </c>
      <c r="E271" s="3" t="str">
        <f>CONCATENATE(LEFT(dados_01!E271,3),REPT("*",6),RIGHT(dados_01!E271,2))</f>
        <v>003******21</v>
      </c>
      <c r="F271" s="3" t="str">
        <f>dados_01!F271</f>
        <v>INFANTIL 1</v>
      </c>
      <c r="G271" s="3" t="str">
        <f>dados_01!G271</f>
        <v>CRECHE MUNICIPAL PROFESSORA MARIA RITA LINS MARTINS</v>
      </c>
      <c r="H271" s="3" t="str">
        <f>dados_01!H271</f>
        <v>REGIONAL 1</v>
      </c>
      <c r="I271" s="3">
        <f>dados_01!I271</f>
        <v>0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 spans="1:26">
      <c r="A272" s="3" t="str">
        <f>dados_01!A272</f>
        <v>10/05/2026 13:51:20</v>
      </c>
      <c r="B272" s="3" t="str">
        <f>dados_01!B272</f>
        <v>4</v>
      </c>
      <c r="C272" s="3" t="str">
        <f>IFERROR(__xludf.dummyfunction("JOIN("". "", ARRAYFORMULA(IFERROR(LEFT(SPLIT(dados_01!C272, "" ""), 1))))"),"L. M. D. S")</f>
        <v>L. M. D. S</v>
      </c>
      <c r="D272" s="3" t="str">
        <f>dados_01!D272</f>
        <v>21/03/2025</v>
      </c>
      <c r="E272" s="3" t="str">
        <f>CONCATENATE(LEFT(dados_01!E272,3),REPT("*",6),RIGHT(dados_01!E272,2))</f>
        <v>007******01</v>
      </c>
      <c r="F272" s="3" t="str">
        <f>dados_01!F272</f>
        <v>INFANTIL 1</v>
      </c>
      <c r="G272" s="3" t="str">
        <f>dados_01!G272</f>
        <v>CRECHE MUNICIPAL PROFESSORA MARIA RITA LINS MARTINS</v>
      </c>
      <c r="H272" s="3" t="str">
        <f>dados_01!H272</f>
        <v>REGIONAL 1</v>
      </c>
      <c r="I272" s="3">
        <f>dados_01!I272</f>
        <v>0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 spans="1:26">
      <c r="A273" s="3" t="str">
        <f>dados_01!A273</f>
        <v>14/06/2026 18:20:08</v>
      </c>
      <c r="B273" s="3" t="str">
        <f>dados_01!B273</f>
        <v>5</v>
      </c>
      <c r="C273" s="3" t="str">
        <f>IFERROR(__xludf.dummyfunction("JOIN("". "", ARRAYFORMULA(IFERROR(LEFT(SPLIT(dados_01!C273, "" ""), 1))))"),"A. G. d. S")</f>
        <v>A. G. d. S</v>
      </c>
      <c r="D273" s="3" t="str">
        <f>dados_01!D273</f>
        <v>31/05/2024</v>
      </c>
      <c r="E273" s="3" t="str">
        <f>CONCATENATE(LEFT(dados_01!E273,3),REPT("*",6),RIGHT(dados_01!E273,2))</f>
        <v>003******86</v>
      </c>
      <c r="F273" s="3" t="str">
        <f>dados_01!F273</f>
        <v>INFANTIL 1</v>
      </c>
      <c r="G273" s="3" t="str">
        <f>dados_01!G273</f>
        <v>CRECHE MUNICIPAL PROFESSORA MARIA RITA LINS MARTINS</v>
      </c>
      <c r="H273" s="3" t="str">
        <f>dados_01!H273</f>
        <v>REGIONAL 1</v>
      </c>
      <c r="I273" s="3">
        <f>dados_01!I273</f>
        <v>0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 spans="1:26">
      <c r="A274" s="3" t="str">
        <f>dados_01!A274</f>
        <v>25/06/2026 18:16:16</v>
      </c>
      <c r="B274" s="3" t="str">
        <f>dados_01!B274</f>
        <v>6</v>
      </c>
      <c r="C274" s="3" t="str">
        <f>IFERROR(__xludf.dummyfunction("JOIN("". "", ARRAYFORMULA(IFERROR(LEFT(SPLIT(dados_01!C274, "" ""), 1))))"),"J. M. R. s")</f>
        <v>J. M. R. s</v>
      </c>
      <c r="D274" s="3" t="str">
        <f>dados_01!D274</f>
        <v>14/12/2024</v>
      </c>
      <c r="E274" s="3" t="str">
        <f>CONCATENATE(LEFT(dados_01!E274,3),REPT("*",6),RIGHT(dados_01!E274,2))</f>
        <v>004******73</v>
      </c>
      <c r="F274" s="3" t="str">
        <f>dados_01!F274</f>
        <v>INFANTIL 1</v>
      </c>
      <c r="G274" s="3" t="str">
        <f>dados_01!G274</f>
        <v>CRECHE MUNICIPAL PROFESSORA MARIA RITA LINS MARTINS</v>
      </c>
      <c r="H274" s="3" t="str">
        <f>dados_01!H274</f>
        <v>REGIONAL 1</v>
      </c>
      <c r="I274" s="3">
        <f>dados_01!I274</f>
        <v>0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 spans="1:26">
      <c r="A275" s="3" t="str">
        <f>dados_01!A275</f>
        <v>29/06/2026 11:34:07</v>
      </c>
      <c r="B275" s="3" t="str">
        <f>dados_01!B275</f>
        <v>7</v>
      </c>
      <c r="C275" s="3" t="str">
        <f>IFERROR(__xludf.dummyfunction("JOIN("". "", ARRAYFORMULA(IFERROR(LEFT(SPLIT(dados_01!C275, "" ""), 1))))"),"H. S. C. s")</f>
        <v>H. S. C. s</v>
      </c>
      <c r="D275" s="3" t="str">
        <f>dados_01!D275</f>
        <v>24/09/2025</v>
      </c>
      <c r="E275" s="3" t="str">
        <f>CONCATENATE(LEFT(dados_01!E275,3),REPT("*",6),RIGHT(dados_01!E275,2))</f>
        <v>011******15</v>
      </c>
      <c r="F275" s="3" t="str">
        <f>dados_01!F275</f>
        <v>INFANTIL 1</v>
      </c>
      <c r="G275" s="3" t="str">
        <f>dados_01!G275</f>
        <v>CRECHE MUNICIPAL PROFESSORA MARIA RITA LINS MARTINS</v>
      </c>
      <c r="H275" s="3" t="str">
        <f>dados_01!H275</f>
        <v>REGIONAL 1</v>
      </c>
      <c r="I275" s="3">
        <f>dados_01!I275</f>
        <v>0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 spans="1:26">
      <c r="A276" s="3" t="str">
        <f>dados_01!A276</f>
        <v>21/08/2026 12:22:12</v>
      </c>
      <c r="B276" s="3" t="str">
        <f>dados_01!B276</f>
        <v>8</v>
      </c>
      <c r="C276" s="3" t="str">
        <f>IFERROR(__xludf.dummyfunction("JOIN("". "", ARRAYFORMULA(IFERROR(LEFT(SPLIT(dados_01!C276, "" ""), 1))))"),"M. A. F. M. C")</f>
        <v>M. A. F. M. C</v>
      </c>
      <c r="D276" s="3" t="str">
        <f>dados_01!D276</f>
        <v>11/04/2025</v>
      </c>
      <c r="E276" s="3" t="str">
        <f>CONCATENATE(LEFT(dados_01!E276,3),REPT("*",6),RIGHT(dados_01!E276,2))</f>
        <v>007******01</v>
      </c>
      <c r="F276" s="3" t="str">
        <f>dados_01!F276</f>
        <v>INFANTIL 1</v>
      </c>
      <c r="G276" s="3" t="str">
        <f>dados_01!G276</f>
        <v>CRECHE MUNICIPAL PROFESSORA MARIA RITA LINS MARTINS</v>
      </c>
      <c r="H276" s="3" t="str">
        <f>dados_01!H276</f>
        <v>REGIONAL 1</v>
      </c>
      <c r="I276" s="3">
        <f>dados_01!I276</f>
        <v>0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 spans="1:26">
      <c r="A277" s="3" t="str">
        <f>dados_01!A277</f>
        <v>31/08/2026 22:56:10</v>
      </c>
      <c r="B277" s="3" t="str">
        <f>dados_01!B277</f>
        <v>9</v>
      </c>
      <c r="C277" s="3" t="str">
        <f>IFERROR(__xludf.dummyfunction("JOIN("". "", ARRAYFORMULA(IFERROR(LEFT(SPLIT(dados_01!C277, "" ""), 1))))"),"A. D. d. S. T")</f>
        <v>A. D. d. S. T</v>
      </c>
      <c r="D277" s="3" t="str">
        <f>dados_01!D277</f>
        <v>26/08/2024</v>
      </c>
      <c r="E277" s="3" t="str">
        <f>CONCATENATE(LEFT(dados_01!E277,3),REPT("*",6),RIGHT(dados_01!E277,2))</f>
        <v>003******33</v>
      </c>
      <c r="F277" s="3" t="str">
        <f>dados_01!F277</f>
        <v>INFANTIL 1</v>
      </c>
      <c r="G277" s="3" t="str">
        <f>dados_01!G277</f>
        <v>CRECHE MUNICIPAL PROFESSORA MARIA RITA LINS MARTINS</v>
      </c>
      <c r="H277" s="3" t="str">
        <f>dados_01!H277</f>
        <v>REGIONAL 1</v>
      </c>
      <c r="I277" s="3">
        <f>dados_01!I277</f>
        <v>0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 spans="1:26">
      <c r="A278" s="3" t="str">
        <f>dados_01!A278</f>
        <v>30/01/2026 13:46:37</v>
      </c>
      <c r="B278" s="3" t="str">
        <f>dados_01!B278</f>
        <v>1</v>
      </c>
      <c r="C278" s="3" t="str">
        <f>IFERROR(__xludf.dummyfunction("JOIN("". "", ARRAYFORMULA(IFERROR(LEFT(SPLIT(dados_01!C278, "" ""), 1))))"),"L. M. D. S. P")</f>
        <v>L. M. D. S. P</v>
      </c>
      <c r="D278" s="3" t="str">
        <f>dados_01!D278</f>
        <v>24/01/2024</v>
      </c>
      <c r="E278" s="3" t="str">
        <f>CONCATENATE(LEFT(dados_01!E278,3),REPT("*",6),RIGHT(dados_01!E278,2))</f>
        <v>001******95</v>
      </c>
      <c r="F278" s="3" t="str">
        <f>dados_01!F278</f>
        <v>INFANTIL 2</v>
      </c>
      <c r="G278" s="3" t="str">
        <f>dados_01!G278</f>
        <v>CRECHE MUNICIPAL PROFESSORA MARIA RITA LINS MARTINS</v>
      </c>
      <c r="H278" s="3" t="str">
        <f>dados_01!H278</f>
        <v>REGIONAL 1</v>
      </c>
      <c r="I278" s="3">
        <f>dados_01!I278</f>
        <v>0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 spans="1:26">
      <c r="A279" s="3" t="str">
        <f>dados_01!A279</f>
        <v>08/03/2026 00:13:08</v>
      </c>
      <c r="B279" s="3" t="str">
        <f>dados_01!B279</f>
        <v>2</v>
      </c>
      <c r="C279" s="3" t="str">
        <f>IFERROR(__xludf.dummyfunction("JOIN("". "", ARRAYFORMULA(IFERROR(LEFT(SPLIT(dados_01!C279, "" ""), 1))))"),"H. G. S. G. D. S")</f>
        <v>H. G. S. G. D. S</v>
      </c>
      <c r="D279" s="3" t="str">
        <f>dados_01!D279</f>
        <v>19/07/2023</v>
      </c>
      <c r="E279" s="3" t="str">
        <f>CONCATENATE(LEFT(dados_01!E279,3),REPT("*",6),RIGHT(dados_01!E279,2))</f>
        <v>186******81</v>
      </c>
      <c r="F279" s="3" t="str">
        <f>dados_01!F279</f>
        <v>INFANTIL 2</v>
      </c>
      <c r="G279" s="3" t="str">
        <f>dados_01!G279</f>
        <v>CRECHE MUNICIPAL PROFESSORA MARIA RITA LINS MARTINS</v>
      </c>
      <c r="H279" s="3" t="str">
        <f>dados_01!H279</f>
        <v>REGIONAL 1</v>
      </c>
      <c r="I279" s="3">
        <f>dados_01!I279</f>
        <v>0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 spans="1:26">
      <c r="A280" s="3" t="str">
        <f>dados_01!A280</f>
        <v>11/03/2026 10:30:16</v>
      </c>
      <c r="B280" s="3" t="str">
        <f>dados_01!B280</f>
        <v>3</v>
      </c>
      <c r="C280" s="3" t="str">
        <f>IFERROR(__xludf.dummyfunction("JOIN("". "", ARRAYFORMULA(IFERROR(LEFT(SPLIT(dados_01!C280, "" ""), 1))))"),"L. S. P")</f>
        <v>L. S. P</v>
      </c>
      <c r="D280" s="3" t="str">
        <f>dados_01!D280</f>
        <v>11/12/2023</v>
      </c>
      <c r="E280" s="3" t="str">
        <f>CONCATENATE(LEFT(dados_01!E280,3),REPT("*",6),RIGHT(dados_01!E280,2))</f>
        <v>001******48</v>
      </c>
      <c r="F280" s="3" t="str">
        <f>dados_01!F280</f>
        <v>INFANTIL 2</v>
      </c>
      <c r="G280" s="3" t="str">
        <f>dados_01!G280</f>
        <v>CRECHE MUNICIPAL PROFESSORA MARIA RITA LINS MARTINS</v>
      </c>
      <c r="H280" s="3" t="str">
        <f>dados_01!H280</f>
        <v>REGIONAL 1</v>
      </c>
      <c r="I280" s="3">
        <f>dados_01!I280</f>
        <v>0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 spans="1:26">
      <c r="A281" s="3" t="str">
        <f>dados_01!A281</f>
        <v>17/03/2026 08:58:14</v>
      </c>
      <c r="B281" s="3" t="str">
        <f>dados_01!B281</f>
        <v>4</v>
      </c>
      <c r="C281" s="3" t="str">
        <f>IFERROR(__xludf.dummyfunction("JOIN("". "", ARRAYFORMULA(IFERROR(LEFT(SPLIT(dados_01!C281, "" ""), 1))))"),"L. R. D. L")</f>
        <v>L. R. D. L</v>
      </c>
      <c r="D281" s="3" t="str">
        <f>dados_01!D281</f>
        <v>09/03/2024</v>
      </c>
      <c r="E281" s="3" t="str">
        <f>CONCATENATE(LEFT(dados_01!E281,3),REPT("*",6),RIGHT(dados_01!E281,2))</f>
        <v>001******96</v>
      </c>
      <c r="F281" s="3" t="str">
        <f>dados_01!F281</f>
        <v>INFANTIL 2</v>
      </c>
      <c r="G281" s="3" t="str">
        <f>dados_01!G281</f>
        <v>CRECHE MUNICIPAL PROFESSORA MARIA RITA LINS MARTINS</v>
      </c>
      <c r="H281" s="3" t="str">
        <f>dados_01!H281</f>
        <v>REGIONAL 1</v>
      </c>
      <c r="I281" s="3">
        <f>dados_01!I281</f>
        <v>0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 spans="1:26">
      <c r="A282" s="3" t="str">
        <f>dados_01!A282</f>
        <v>16/04/2026 17:20:01</v>
      </c>
      <c r="B282" s="3" t="str">
        <f>dados_01!B282</f>
        <v>5</v>
      </c>
      <c r="C282" s="3" t="str">
        <f>IFERROR(__xludf.dummyfunction("JOIN("". "", ARRAYFORMULA(IFERROR(LEFT(SPLIT(dados_01!C282, "" ""), 1))))"),"M. C. D. S. C. M")</f>
        <v>M. C. D. S. C. M</v>
      </c>
      <c r="D282" s="3" t="str">
        <f>dados_01!D282</f>
        <v>17/04/2023</v>
      </c>
      <c r="E282" s="3" t="str">
        <f>CONCATENATE(LEFT(dados_01!E282,3),REPT("*",6),RIGHT(dados_01!E282,2))</f>
        <v>185******46</v>
      </c>
      <c r="F282" s="3" t="str">
        <f>dados_01!F282</f>
        <v>INFANTIL 2</v>
      </c>
      <c r="G282" s="3" t="str">
        <f>dados_01!G282</f>
        <v>CRECHE MUNICIPAL PROFESSORA MARIA RITA LINS MARTINS</v>
      </c>
      <c r="H282" s="3" t="str">
        <f>dados_01!H282</f>
        <v>REGIONAL 1</v>
      </c>
      <c r="I282" s="3">
        <f>dados_01!I282</f>
        <v>0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 spans="1:26">
      <c r="A283" s="3" t="str">
        <f>dados_01!A283</f>
        <v>13/05/2026 08:10:15</v>
      </c>
      <c r="B283" s="3" t="str">
        <f>dados_01!B283</f>
        <v>6</v>
      </c>
      <c r="C283" s="3" t="str">
        <f>IFERROR(__xludf.dummyfunction("JOIN("". "", ARRAYFORMULA(IFERROR(LEFT(SPLIT(dados_01!C283, "" ""), 1))))"),"T. M. O. D. S")</f>
        <v>T. M. O. D. S</v>
      </c>
      <c r="D283" s="3" t="str">
        <f>dados_01!D283</f>
        <v>16/08/2023</v>
      </c>
      <c r="E283" s="3" t="str">
        <f>CONCATENATE(LEFT(dados_01!E283,3),REPT("*",6),RIGHT(dados_01!E283,2))</f>
        <v>186******46</v>
      </c>
      <c r="F283" s="3" t="str">
        <f>dados_01!F283</f>
        <v>INFANTIL 2</v>
      </c>
      <c r="G283" s="3" t="str">
        <f>dados_01!G283</f>
        <v>CRECHE MUNICIPAL PROFESSORA MARIA RITA LINS MARTINS</v>
      </c>
      <c r="H283" s="3" t="str">
        <f>dados_01!H283</f>
        <v>REGIONAL 1</v>
      </c>
      <c r="I283" s="3">
        <f>dados_01!I283</f>
        <v>0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 spans="1:26">
      <c r="A284" s="3" t="str">
        <f>dados_01!A284</f>
        <v>16/04/2026 17:16:18</v>
      </c>
      <c r="B284" s="3" t="str">
        <f>dados_01!B284</f>
        <v>1</v>
      </c>
      <c r="C284" s="3" t="str">
        <f>IFERROR(__xludf.dummyfunction("JOIN("". "", ARRAYFORMULA(IFERROR(LEFT(SPLIT(dados_01!C284, "" ""), 1))))"),"M. G. D. S. C. M")</f>
        <v>M. G. D. S. C. M</v>
      </c>
      <c r="D284" s="3" t="str">
        <f>dados_01!D284</f>
        <v>11/04/2022</v>
      </c>
      <c r="E284" s="3" t="str">
        <f>CONCATENATE(LEFT(dados_01!E284,3),REPT("*",6),RIGHT(dados_01!E284,2))</f>
        <v>181******09</v>
      </c>
      <c r="F284" s="3" t="str">
        <f>dados_01!F284</f>
        <v>INFANTIL 3</v>
      </c>
      <c r="G284" s="3" t="str">
        <f>dados_01!G284</f>
        <v>CRECHE MUNICIPAL PROFESSORA MARIA RITA LINS MARTINS</v>
      </c>
      <c r="H284" s="3" t="str">
        <f>dados_01!H284</f>
        <v>REGIONAL 1</v>
      </c>
      <c r="I284" s="3">
        <f>dados_01!I284</f>
        <v>0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 spans="1:26">
      <c r="A285" s="3" t="str">
        <f>dados_01!A285</f>
        <v>10/05/2026 13:58:19</v>
      </c>
      <c r="B285" s="3" t="str">
        <f>dados_01!B285</f>
        <v>2</v>
      </c>
      <c r="C285" s="3" t="str">
        <f>IFERROR(__xludf.dummyfunction("JOIN("". "", ARRAYFORMULA(IFERROR(LEFT(SPLIT(dados_01!C285, "" ""), 1))))"),"D. E. D. M")</f>
        <v>D. E. D. M</v>
      </c>
      <c r="D285" s="3" t="str">
        <f>dados_01!D285</f>
        <v>07/01/2023</v>
      </c>
      <c r="E285" s="3" t="str">
        <f>CONCATENATE(LEFT(dados_01!E285,3),REPT("*",6),RIGHT(dados_01!E285,2))</f>
        <v>184******52</v>
      </c>
      <c r="F285" s="3" t="str">
        <f>dados_01!F285</f>
        <v>INFANTIL 3</v>
      </c>
      <c r="G285" s="3" t="str">
        <f>dados_01!G285</f>
        <v>CRECHE MUNICIPAL PROFESSORA MARIA RITA LINS MARTINS</v>
      </c>
      <c r="H285" s="3" t="str">
        <f>dados_01!H285</f>
        <v>REGIONAL 1</v>
      </c>
      <c r="I285" s="3">
        <f>dados_01!I285</f>
        <v>0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 spans="1:26">
      <c r="A286" s="3" t="str">
        <f>dados_01!A286</f>
        <v>15/06/2026 14:59:35</v>
      </c>
      <c r="B286" s="3" t="str">
        <f>dados_01!B286</f>
        <v>3</v>
      </c>
      <c r="C286" s="3" t="str">
        <f>IFERROR(__xludf.dummyfunction("JOIN("". "", ARRAYFORMULA(IFERROR(LEFT(SPLIT(dados_01!C286, "" ""), 1))))"),"Y. L. S. D. C")</f>
        <v>Y. L. S. D. C</v>
      </c>
      <c r="D286" s="3" t="str">
        <f>dados_01!D286</f>
        <v>05/06/2022</v>
      </c>
      <c r="E286" s="3" t="str">
        <f>CONCATENATE(LEFT(dados_01!E286,3),REPT("*",6),RIGHT(dados_01!E286,2))</f>
        <v>182******93</v>
      </c>
      <c r="F286" s="3" t="str">
        <f>dados_01!F286</f>
        <v>INFANTIL 3</v>
      </c>
      <c r="G286" s="3" t="str">
        <f>dados_01!G286</f>
        <v>CRECHE MUNICIPAL PROFESSORA MARIA RITA LINS MARTINS</v>
      </c>
      <c r="H286" s="3" t="str">
        <f>dados_01!H286</f>
        <v>REGIONAL 1</v>
      </c>
      <c r="I286" s="3">
        <f>dados_01!I286</f>
        <v>0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 spans="1:26">
      <c r="A287" s="3" t="str">
        <f>dados_01!A287</f>
        <v>05/02/2026 23:06:26</v>
      </c>
      <c r="B287" s="3" t="str">
        <f>dados_01!B287</f>
        <v>1</v>
      </c>
      <c r="C287" s="3" t="str">
        <f>IFERROR(__xludf.dummyfunction("JOIN("". "", ARRAYFORMULA(IFERROR(LEFT(SPLIT(dados_01!C287, "" ""), 1))))"),"L. S. S")</f>
        <v>L. S. S</v>
      </c>
      <c r="D287" s="3" t="str">
        <f>dados_01!D287</f>
        <v>27/04/2025</v>
      </c>
      <c r="E287" s="3" t="str">
        <f>CONCATENATE(LEFT(dados_01!E287,3),REPT("*",6),RIGHT(dados_01!E287,2))</f>
        <v>017******91</v>
      </c>
      <c r="F287" s="3" t="str">
        <f>dados_01!F287</f>
        <v>INFANTIL 1</v>
      </c>
      <c r="G287" s="3" t="str">
        <f>dados_01!G287</f>
        <v>CRECHE MUNICIPAL PROFESSORA SILVIA CRISTINA SANTOS BOTELHO</v>
      </c>
      <c r="H287" s="3" t="str">
        <f>dados_01!H287</f>
        <v>REGIONAL 7</v>
      </c>
      <c r="I287" s="3">
        <f>dados_01!I287</f>
        <v>0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 spans="1:26">
      <c r="A288" s="3" t="str">
        <f>dados_01!A288</f>
        <v>27/03/2026 15:45:11</v>
      </c>
      <c r="B288" s="3" t="str">
        <f>dados_01!B288</f>
        <v>2</v>
      </c>
      <c r="C288" s="3" t="str">
        <f>IFERROR(__xludf.dummyfunction("JOIN("". "", ARRAYFORMULA(IFERROR(LEFT(SPLIT(dados_01!C288, "" ""), 1))))"),"A. M. D. S. V")</f>
        <v>A. M. D. S. V</v>
      </c>
      <c r="D288" s="3" t="str">
        <f>dados_01!D288</f>
        <v>12/10/2024</v>
      </c>
      <c r="E288" s="3" t="str">
        <f>CONCATENATE(LEFT(dados_01!E288,3),REPT("*",6),RIGHT(dados_01!E288,2))</f>
        <v>004******00</v>
      </c>
      <c r="F288" s="3" t="str">
        <f>dados_01!F288</f>
        <v>INFANTIL 1</v>
      </c>
      <c r="G288" s="3" t="str">
        <f>dados_01!G288</f>
        <v>CRECHE MUNICIPAL PROFESSORA SILVIA CRISTINA SANTOS BOTELHO</v>
      </c>
      <c r="H288" s="3" t="str">
        <f>dados_01!H288</f>
        <v>REGIONAL 7</v>
      </c>
      <c r="I288" s="3">
        <f>dados_01!I288</f>
        <v>0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 spans="1:26">
      <c r="A289" s="3" t="str">
        <f>dados_01!A289</f>
        <v>15/04/2026 22:22:20</v>
      </c>
      <c r="B289" s="3" t="str">
        <f>dados_01!B289</f>
        <v>3</v>
      </c>
      <c r="C289" s="3" t="str">
        <f>IFERROR(__xludf.dummyfunction("JOIN("". "", ARRAYFORMULA(IFERROR(LEFT(SPLIT(dados_01!C289, "" ""), 1))))"),"I. E. D. S")</f>
        <v>I. E. D. S</v>
      </c>
      <c r="D289" s="3" t="str">
        <f>dados_01!D289</f>
        <v>19/11/2024</v>
      </c>
      <c r="E289" s="3" t="str">
        <f>CONCATENATE(LEFT(dados_01!E289,3),REPT("*",6),RIGHT(dados_01!E289,2))</f>
        <v>004******92</v>
      </c>
      <c r="F289" s="3" t="str">
        <f>dados_01!F289</f>
        <v>INFANTIL 1</v>
      </c>
      <c r="G289" s="3" t="str">
        <f>dados_01!G289</f>
        <v>CRECHE MUNICIPAL PROFESSORA SILVIA CRISTINA SANTOS BOTELHO</v>
      </c>
      <c r="H289" s="3" t="str">
        <f>dados_01!H289</f>
        <v>REGIONAL 7</v>
      </c>
      <c r="I289" s="3">
        <f>dados_01!I289</f>
        <v>0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 spans="1:26">
      <c r="A290" s="3" t="str">
        <f>dados_01!A290</f>
        <v>05/05/2026 10:48:19</v>
      </c>
      <c r="B290" s="3" t="str">
        <f>dados_01!B290</f>
        <v>4</v>
      </c>
      <c r="C290" s="3" t="str">
        <f>IFERROR(__xludf.dummyfunction("JOIN("". "", ARRAYFORMULA(IFERROR(LEFT(SPLIT(dados_01!C290, "" ""), 1))))"),"D. N")</f>
        <v>D. N</v>
      </c>
      <c r="D290" s="3" t="str">
        <f>dados_01!D290</f>
        <v>19/06/2024</v>
      </c>
      <c r="E290" s="3" t="str">
        <f>CONCATENATE(LEFT(dados_01!E290,3),REPT("*",6),RIGHT(dados_01!E290,2))</f>
        <v>003******78</v>
      </c>
      <c r="F290" s="3" t="str">
        <f>dados_01!F290</f>
        <v>INFANTIL 1</v>
      </c>
      <c r="G290" s="3" t="str">
        <f>dados_01!G290</f>
        <v>CRECHE MUNICIPAL PROFESSORA SILVIA CRISTINA SANTOS BOTELHO</v>
      </c>
      <c r="H290" s="3" t="str">
        <f>dados_01!H290</f>
        <v>REGIONAL 7</v>
      </c>
      <c r="I290" s="3">
        <f>dados_01!I290</f>
        <v>0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 spans="1:26">
      <c r="A291" s="3" t="str">
        <f>dados_01!A291</f>
        <v>25/05/2026 19:36:10</v>
      </c>
      <c r="B291" s="3" t="str">
        <f>dados_01!B291</f>
        <v>5</v>
      </c>
      <c r="C291" s="3" t="str">
        <f>IFERROR(__xludf.dummyfunction("JOIN("". "", ARRAYFORMULA(IFERROR(LEFT(SPLIT(dados_01!C291, "" ""), 1))))"),"A. S. s. d. s")</f>
        <v>A. S. s. d. s</v>
      </c>
      <c r="D291" s="3" t="str">
        <f>dados_01!D291</f>
        <v>05/01/2025</v>
      </c>
      <c r="E291" s="3" t="str">
        <f>CONCATENATE(LEFT(dados_01!E291,3),REPT("*",6),RIGHT(dados_01!E291,2))</f>
        <v>005******41</v>
      </c>
      <c r="F291" s="3" t="str">
        <f>dados_01!F291</f>
        <v>INFANTIL 1</v>
      </c>
      <c r="G291" s="3" t="str">
        <f>dados_01!G291</f>
        <v>CRECHE MUNICIPAL PROFESSORA SILVIA CRISTINA SANTOS BOTELHO</v>
      </c>
      <c r="H291" s="3" t="str">
        <f>dados_01!H291</f>
        <v>REGIONAL 7</v>
      </c>
      <c r="I291" s="3">
        <f>dados_01!I291</f>
        <v>0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 spans="1:26">
      <c r="A292" s="3" t="str">
        <f>dados_01!A292</f>
        <v>23/06/2026 14:42:25</v>
      </c>
      <c r="B292" s="3" t="str">
        <f>dados_01!B292</f>
        <v>6</v>
      </c>
      <c r="C292" s="3" t="str">
        <f>IFERROR(__xludf.dummyfunction("JOIN("". "", ARRAYFORMULA(IFERROR(LEFT(SPLIT(dados_01!C292, "" ""), 1))))"),"L. v. S. d. O. L")</f>
        <v>L. v. S. d. O. L</v>
      </c>
      <c r="D292" s="3" t="str">
        <f>dados_01!D292</f>
        <v>27/12/2024</v>
      </c>
      <c r="E292" s="3" t="str">
        <f>CONCATENATE(LEFT(dados_01!E292,3),REPT("*",6),RIGHT(dados_01!E292,2))</f>
        <v>004******12</v>
      </c>
      <c r="F292" s="3" t="str">
        <f>dados_01!F292</f>
        <v>INFANTIL 1</v>
      </c>
      <c r="G292" s="3" t="str">
        <f>dados_01!G292</f>
        <v>CRECHE MUNICIPAL PROFESSORA SILVIA CRISTINA SANTOS BOTELHO</v>
      </c>
      <c r="H292" s="3" t="str">
        <f>dados_01!H292</f>
        <v>REGIONAL 7</v>
      </c>
      <c r="I292" s="3">
        <f>dados_01!I292</f>
        <v>0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 spans="1:26">
      <c r="A293" s="3" t="str">
        <f>dados_01!A293</f>
        <v>27/06/2026 22:58:33</v>
      </c>
      <c r="B293" s="3" t="str">
        <f>dados_01!B293</f>
        <v>7</v>
      </c>
      <c r="C293" s="3" t="str">
        <f>IFERROR(__xludf.dummyfunction("JOIN("". "", ARRAYFORMULA(IFERROR(LEFT(SPLIT(dados_01!C293, "" ""), 1))))"),"E. G. A. G")</f>
        <v>E. G. A. G</v>
      </c>
      <c r="D293" s="3" t="str">
        <f>dados_01!D293</f>
        <v>19/06/2024</v>
      </c>
      <c r="E293" s="3" t="str">
        <f>CONCATENATE(LEFT(dados_01!E293,3),REPT("*",6),RIGHT(dados_01!E293,2))</f>
        <v>003******73</v>
      </c>
      <c r="F293" s="3" t="str">
        <f>dados_01!F293</f>
        <v>INFANTIL 1</v>
      </c>
      <c r="G293" s="3" t="str">
        <f>dados_01!G293</f>
        <v>CRECHE MUNICIPAL PROFESSORA SILVIA CRISTINA SANTOS BOTELHO</v>
      </c>
      <c r="H293" s="3" t="str">
        <f>dados_01!H293</f>
        <v>REGIONAL 7</v>
      </c>
      <c r="I293" s="3">
        <f>dados_01!I293</f>
        <v>0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 spans="1:26">
      <c r="A294" s="3" t="str">
        <f>dados_01!A294</f>
        <v>23/09/2026 13:18:48</v>
      </c>
      <c r="B294" s="3" t="str">
        <f>dados_01!B294</f>
        <v>8</v>
      </c>
      <c r="C294" s="3" t="str">
        <f>IFERROR(__xludf.dummyfunction("JOIN("". "", ARRAYFORMULA(IFERROR(LEFT(SPLIT(dados_01!C294, "" ""), 1))))"),"N. M. A. d. S")</f>
        <v>N. M. A. d. S</v>
      </c>
      <c r="D294" s="3" t="str">
        <f>dados_01!D294</f>
        <v>16/02/2025</v>
      </c>
      <c r="E294" s="3" t="str">
        <f>CONCATENATE(LEFT(dados_01!E294,3),REPT("*",6),RIGHT(dados_01!E294,2))</f>
        <v>005******60</v>
      </c>
      <c r="F294" s="3" t="str">
        <f>dados_01!F294</f>
        <v>INFANTIL 1</v>
      </c>
      <c r="G294" s="3" t="str">
        <f>dados_01!G294</f>
        <v>CRECHE MUNICIPAL PROFESSORA SILVIA CRISTINA SANTOS BOTELHO</v>
      </c>
      <c r="H294" s="3" t="str">
        <f>dados_01!H294</f>
        <v>REGIONAL 7</v>
      </c>
      <c r="I294" s="3">
        <f>dados_01!I294</f>
        <v>0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 spans="1:26">
      <c r="A295" s="3" t="str">
        <f>dados_01!A295</f>
        <v>26/02/2026 09:33:21</v>
      </c>
      <c r="B295" s="3" t="str">
        <f>dados_01!B295</f>
        <v>1</v>
      </c>
      <c r="C295" s="3" t="str">
        <f>IFERROR(__xludf.dummyfunction("JOIN("". "", ARRAYFORMULA(IFERROR(LEFT(SPLIT(dados_01!C295, "" ""), 1))))"),"M. L. S. D. S")</f>
        <v>M. L. S. D. S</v>
      </c>
      <c r="D295" s="3" t="str">
        <f>dados_01!D295</f>
        <v>20/07/2024</v>
      </c>
      <c r="E295" s="3" t="str">
        <f>CONCATENATE(LEFT(dados_01!E295,3),REPT("*",6),RIGHT(dados_01!E295,2))</f>
        <v>003******16</v>
      </c>
      <c r="F295" s="3" t="str">
        <f>dados_01!F295</f>
        <v>INFANTIL 1</v>
      </c>
      <c r="G295" s="3" t="str">
        <f>dados_01!G295</f>
        <v>CRECHE PROFESSORA LEDA MARIA QUEIROZ DO REGO BARROS</v>
      </c>
      <c r="H295" s="3" t="str">
        <f>dados_01!H295</f>
        <v>REGIONAL 2</v>
      </c>
      <c r="I295" s="3">
        <f>dados_01!I295</f>
        <v>0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 spans="1:26">
      <c r="A296" s="3" t="str">
        <f>dados_01!A296</f>
        <v>05/04/2026 16:11:06</v>
      </c>
      <c r="B296" s="3" t="str">
        <f>dados_01!B296</f>
        <v>2</v>
      </c>
      <c r="C296" s="3" t="str">
        <f>IFERROR(__xludf.dummyfunction("JOIN("". "", ARRAYFORMULA(IFERROR(LEFT(SPLIT(dados_01!C296, "" ""), 1))))"),"T. N. F. G")</f>
        <v>T. N. F. G</v>
      </c>
      <c r="D296" s="3" t="str">
        <f>dados_01!D296</f>
        <v>27/09/2024</v>
      </c>
      <c r="E296" s="3" t="str">
        <f>CONCATENATE(LEFT(dados_01!E296,3),REPT("*",6),RIGHT(dados_01!E296,2))</f>
        <v>004******13</v>
      </c>
      <c r="F296" s="3" t="str">
        <f>dados_01!F296</f>
        <v>INFANTIL 1</v>
      </c>
      <c r="G296" s="3" t="str">
        <f>dados_01!G296</f>
        <v>CRECHE PROFESSORA LEDA MARIA QUEIROZ DO REGO BARROS</v>
      </c>
      <c r="H296" s="3" t="str">
        <f>dados_01!H296</f>
        <v>REGIONAL 2</v>
      </c>
      <c r="I296" s="3">
        <f>dados_01!I296</f>
        <v>0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 spans="1:26">
      <c r="A297" s="3" t="str">
        <f>dados_01!A297</f>
        <v>25/05/2026 11:20:13</v>
      </c>
      <c r="B297" s="3" t="str">
        <f>dados_01!B297</f>
        <v>3</v>
      </c>
      <c r="C297" s="3" t="str">
        <f>IFERROR(__xludf.dummyfunction("JOIN("". "", ARRAYFORMULA(IFERROR(LEFT(SPLIT(dados_01!C297, "" ""), 1))))"),"M. C. M. D. S")</f>
        <v>M. C. M. D. S</v>
      </c>
      <c r="D297" s="3" t="str">
        <f>dados_01!D297</f>
        <v>22/04/2024</v>
      </c>
      <c r="E297" s="3" t="str">
        <f>CONCATENATE(LEFT(dados_01!E297,3),REPT("*",6),RIGHT(dados_01!E297,2))</f>
        <v>003******40</v>
      </c>
      <c r="F297" s="3" t="str">
        <f>dados_01!F297</f>
        <v>INFANTIL 1</v>
      </c>
      <c r="G297" s="3" t="str">
        <f>dados_01!G297</f>
        <v>CRECHE PROFESSORA LEDA MARIA QUEIROZ DO REGO BARROS</v>
      </c>
      <c r="H297" s="3" t="str">
        <f>dados_01!H297</f>
        <v>REGIONAL 2</v>
      </c>
      <c r="I297" s="3">
        <f>dados_01!I297</f>
        <v>0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 spans="1:26">
      <c r="A298" s="3" t="str">
        <f>dados_01!A298</f>
        <v>01/06/2026 12:02:51</v>
      </c>
      <c r="B298" s="3" t="str">
        <f>dados_01!B298</f>
        <v>4</v>
      </c>
      <c r="C298" s="3" t="str">
        <f>IFERROR(__xludf.dummyfunction("JOIN("". "", ARRAYFORMULA(IFERROR(LEFT(SPLIT(dados_01!C298, "" ""), 1))))"),"R. V. V. M. d. S")</f>
        <v>R. V. V. M. d. S</v>
      </c>
      <c r="D298" s="3" t="str">
        <f>dados_01!D298</f>
        <v>18/03/2025</v>
      </c>
      <c r="E298" s="3" t="str">
        <f>CONCATENATE(LEFT(dados_01!E298,3),REPT("*",6),RIGHT(dados_01!E298,2))</f>
        <v>005******43</v>
      </c>
      <c r="F298" s="3" t="str">
        <f>dados_01!F298</f>
        <v>INFANTIL 1</v>
      </c>
      <c r="G298" s="3" t="str">
        <f>dados_01!G298</f>
        <v>CRECHE PROFESSORA LEDA MARIA QUEIROZ DO REGO BARROS</v>
      </c>
      <c r="H298" s="3" t="str">
        <f>dados_01!H298</f>
        <v>REGIONAL 2</v>
      </c>
      <c r="I298" s="3">
        <f>dados_01!I298</f>
        <v>0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 spans="1:26">
      <c r="A299" s="3" t="str">
        <f>dados_01!A299</f>
        <v>01/07/2026 10:11:32</v>
      </c>
      <c r="B299" s="3" t="str">
        <f>dados_01!B299</f>
        <v>5</v>
      </c>
      <c r="C299" s="3" t="str">
        <f>IFERROR(__xludf.dummyfunction("JOIN("". "", ARRAYFORMULA(IFERROR(LEFT(SPLIT(dados_01!C299, "" ""), 1))))"),"M. A. A. S")</f>
        <v>M. A. A. S</v>
      </c>
      <c r="D299" s="3" t="str">
        <f>dados_01!D299</f>
        <v>06/01/2026</v>
      </c>
      <c r="E299" s="3" t="str">
        <f>CONCATENATE(LEFT(dados_01!E299,3),REPT("*",6),RIGHT(dados_01!E299,2))</f>
        <v>046******68</v>
      </c>
      <c r="F299" s="3" t="str">
        <f>dados_01!F299</f>
        <v>INFANTIL 1</v>
      </c>
      <c r="G299" s="3" t="str">
        <f>dados_01!G299</f>
        <v>CRECHE PROFESSORA LEDA MARIA QUEIROZ DO REGO BARROS</v>
      </c>
      <c r="H299" s="3" t="str">
        <f>dados_01!H299</f>
        <v>REGIONAL 2</v>
      </c>
      <c r="I299" s="3">
        <f>dados_01!I299</f>
        <v>0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 spans="1:26">
      <c r="A300" s="3" t="str">
        <f>dados_01!A300</f>
        <v>02/07/2026 10:44:55</v>
      </c>
      <c r="B300" s="3" t="str">
        <f>dados_01!B300</f>
        <v>6</v>
      </c>
      <c r="C300" s="3" t="str">
        <f>IFERROR(__xludf.dummyfunction("JOIN("". "", ARRAYFORMULA(IFERROR(LEFT(SPLIT(dados_01!C300, "" ""), 1))))"),"S. c. v. d. S. l")</f>
        <v>S. c. v. d. S. l</v>
      </c>
      <c r="D300" s="3" t="str">
        <f>dados_01!D300</f>
        <v>20/09/2024</v>
      </c>
      <c r="E300" s="3" t="str">
        <f>CONCATENATE(LEFT(dados_01!E300,3),REPT("*",6),RIGHT(dados_01!E300,2))</f>
        <v>004******62</v>
      </c>
      <c r="F300" s="3" t="str">
        <f>dados_01!F300</f>
        <v>INFANTIL 1</v>
      </c>
      <c r="G300" s="3" t="str">
        <f>dados_01!G300</f>
        <v>CRECHE PROFESSORA LEDA MARIA QUEIROZ DO REGO BARROS</v>
      </c>
      <c r="H300" s="3" t="str">
        <f>dados_01!H300</f>
        <v>REGIONAL 2</v>
      </c>
      <c r="I300" s="3">
        <f>dados_01!I300</f>
        <v>0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 spans="1:26">
      <c r="A301" s="3" t="str">
        <f>dados_01!A301</f>
        <v>16/07/2026 01:57:54</v>
      </c>
      <c r="B301" s="3" t="str">
        <f>dados_01!B301</f>
        <v>7</v>
      </c>
      <c r="C301" s="3" t="str">
        <f>IFERROR(__xludf.dummyfunction("JOIN("". "", ARRAYFORMULA(IFERROR(LEFT(SPLIT(dados_01!C301, "" ""), 1))))"),"M. H. O. d. L")</f>
        <v>M. H. O. d. L</v>
      </c>
      <c r="D301" s="3" t="str">
        <f>dados_01!D301</f>
        <v>27/08/2025</v>
      </c>
      <c r="E301" s="3" t="str">
        <f>CONCATENATE(LEFT(dados_01!E301,3),REPT("*",6),RIGHT(dados_01!E301,2))</f>
        <v>007******62</v>
      </c>
      <c r="F301" s="3" t="str">
        <f>dados_01!F301</f>
        <v>INFANTIL 1</v>
      </c>
      <c r="G301" s="3" t="str">
        <f>dados_01!G301</f>
        <v>CRECHE PROFESSORA LEDA MARIA QUEIROZ DO REGO BARROS</v>
      </c>
      <c r="H301" s="3" t="str">
        <f>dados_01!H301</f>
        <v>REGIONAL 2</v>
      </c>
      <c r="I301" s="3">
        <f>dados_01!I301</f>
        <v>0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 spans="1:26">
      <c r="A302" s="3" t="str">
        <f>dados_01!A302</f>
        <v>23/07/2026 18:19:52</v>
      </c>
      <c r="B302" s="3" t="str">
        <f>dados_01!B302</f>
        <v>8</v>
      </c>
      <c r="C302" s="3" t="str">
        <f>IFERROR(__xludf.dummyfunction("JOIN("". "", ARRAYFORMULA(IFERROR(LEFT(SPLIT(dados_01!C302, "" ""), 1))))"),"G. E. J. d. C")</f>
        <v>G. E. J. d. C</v>
      </c>
      <c r="D302" s="3" t="str">
        <f>dados_01!D302</f>
        <v>07/04/2025</v>
      </c>
      <c r="E302" s="3" t="str">
        <f>CONCATENATE(LEFT(dados_01!E302,3),REPT("*",6),RIGHT(dados_01!E302,2))</f>
        <v>005******74</v>
      </c>
      <c r="F302" s="3" t="str">
        <f>dados_01!F302</f>
        <v>INFANTIL 1</v>
      </c>
      <c r="G302" s="3" t="str">
        <f>dados_01!G302</f>
        <v>CRECHE PROFESSORA LEDA MARIA QUEIROZ DO REGO BARROS</v>
      </c>
      <c r="H302" s="3" t="str">
        <f>dados_01!H302</f>
        <v>REGIONAL 2</v>
      </c>
      <c r="I302" s="3">
        <f>dados_01!I302</f>
        <v>0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 spans="1:26">
      <c r="A303" s="3" t="str">
        <f>dados_01!A303</f>
        <v>21/09/2026 09:50:34</v>
      </c>
      <c r="B303" s="3" t="str">
        <f>dados_01!B303</f>
        <v>9</v>
      </c>
      <c r="C303" s="3" t="str">
        <f>IFERROR(__xludf.dummyfunction("JOIN("". "", ARRAYFORMULA(IFERROR(LEFT(SPLIT(dados_01!C303, "" ""), 1))))"),"R. H. F. s. d. S")</f>
        <v>R. H. F. s. d. S</v>
      </c>
      <c r="D303" s="3" t="str">
        <f>dados_01!D303</f>
        <v>16/03/2025</v>
      </c>
      <c r="E303" s="3" t="str">
        <f>CONCATENATE(LEFT(dados_01!E303,3),REPT("*",6),RIGHT(dados_01!E303,2))</f>
        <v>005******50</v>
      </c>
      <c r="F303" s="3" t="str">
        <f>dados_01!F303</f>
        <v>INFANTIL 1</v>
      </c>
      <c r="G303" s="3" t="str">
        <f>dados_01!G303</f>
        <v>CRECHE PROFESSORA LEDA MARIA QUEIROZ DO REGO BARROS</v>
      </c>
      <c r="H303" s="3" t="str">
        <f>dados_01!H303</f>
        <v>REGIONAL 2</v>
      </c>
      <c r="I303" s="3">
        <f>dados_01!I303</f>
        <v>0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 spans="1:26">
      <c r="A304" s="3" t="str">
        <f>dados_01!A304</f>
        <v>02/02/2026 18:41:44</v>
      </c>
      <c r="B304" s="3" t="str">
        <f>dados_01!B304</f>
        <v>1</v>
      </c>
      <c r="C304" s="3" t="str">
        <f>IFERROR(__xludf.dummyfunction("JOIN("". "", ARRAYFORMULA(IFERROR(LEFT(SPLIT(dados_01!C304, "" ""), 1))))"),"Y. K. D. S. P")</f>
        <v>Y. K. D. S. P</v>
      </c>
      <c r="D304" s="3" t="str">
        <f>dados_01!D304</f>
        <v>24/06/2023</v>
      </c>
      <c r="E304" s="3" t="str">
        <f>CONCATENATE(LEFT(dados_01!E304,3),REPT("*",6),RIGHT(dados_01!E304,2))</f>
        <v>185******44</v>
      </c>
      <c r="F304" s="3" t="str">
        <f>dados_01!F304</f>
        <v>INFANTIL 2</v>
      </c>
      <c r="G304" s="3" t="str">
        <f>dados_01!G304</f>
        <v>CRECHE PROFESSORA LEDA MARIA QUEIROZ DO REGO BARROS</v>
      </c>
      <c r="H304" s="3" t="str">
        <f>dados_01!H304</f>
        <v>REGIONAL 2</v>
      </c>
      <c r="I304" s="3">
        <f>dados_01!I304</f>
        <v>0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 spans="1:26">
      <c r="A305" s="3" t="str">
        <f>dados_01!A305</f>
        <v>09/02/2026 08:20:49</v>
      </c>
      <c r="B305" s="3" t="str">
        <f>dados_01!B305</f>
        <v>2</v>
      </c>
      <c r="C305" s="3" t="str">
        <f>IFERROR(__xludf.dummyfunction("JOIN("". "", ARRAYFORMULA(IFERROR(LEFT(SPLIT(dados_01!C305, "" ""), 1))))"),"T. R. D. S")</f>
        <v>T. R. D. S</v>
      </c>
      <c r="D305" s="3" t="str">
        <f>dados_01!D305</f>
        <v>10/03/2024</v>
      </c>
      <c r="E305" s="3" t="str">
        <f>CONCATENATE(LEFT(dados_01!E305,3),REPT("*",6),RIGHT(dados_01!E305,2))</f>
        <v>002******98</v>
      </c>
      <c r="F305" s="3" t="str">
        <f>dados_01!F305</f>
        <v>INFANTIL 2</v>
      </c>
      <c r="G305" s="3" t="str">
        <f>dados_01!G305</f>
        <v>CRECHE PROFESSORA LEDA MARIA QUEIROZ DO REGO BARROS</v>
      </c>
      <c r="H305" s="3" t="str">
        <f>dados_01!H305</f>
        <v>REGIONAL 2</v>
      </c>
      <c r="I305" s="3">
        <f>dados_01!I305</f>
        <v>0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 spans="1:26">
      <c r="A306" s="3" t="str">
        <f>dados_01!A306</f>
        <v>09/03/2026 10:20:55</v>
      </c>
      <c r="B306" s="3" t="str">
        <f>dados_01!B306</f>
        <v>3</v>
      </c>
      <c r="C306" s="3" t="str">
        <f>IFERROR(__xludf.dummyfunction("JOIN("". "", ARRAYFORMULA(IFERROR(LEFT(SPLIT(dados_01!C306, "" ""), 1))))"),"S. J. D. S. A")</f>
        <v>S. J. D. S. A</v>
      </c>
      <c r="D306" s="3" t="str">
        <f>dados_01!D306</f>
        <v>19/06/2023</v>
      </c>
      <c r="E306" s="3" t="str">
        <f>CONCATENATE(LEFT(dados_01!E306,3),REPT("*",6),RIGHT(dados_01!E306,2))</f>
        <v>185******81</v>
      </c>
      <c r="F306" s="3" t="str">
        <f>dados_01!F306</f>
        <v>INFANTIL 2</v>
      </c>
      <c r="G306" s="3" t="str">
        <f>dados_01!G306</f>
        <v>CRECHE PROFESSORA LEDA MARIA QUEIROZ DO REGO BARROS</v>
      </c>
      <c r="H306" s="3" t="str">
        <f>dados_01!H306</f>
        <v>REGIONAL 2</v>
      </c>
      <c r="I306" s="3">
        <f>dados_01!I306</f>
        <v>0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 spans="1:26">
      <c r="A307" s="3" t="str">
        <f>dados_01!A307</f>
        <v>10/04/2026 02:09:34</v>
      </c>
      <c r="B307" s="3" t="str">
        <f>dados_01!B307</f>
        <v>4</v>
      </c>
      <c r="C307" s="3" t="str">
        <f>IFERROR(__xludf.dummyfunction("JOIN("". "", ARRAYFORMULA(IFERROR(LEFT(SPLIT(dados_01!C307, "" ""), 1))))"),"S. R. S. D. N")</f>
        <v>S. R. S. D. N</v>
      </c>
      <c r="D307" s="3" t="str">
        <f>dados_01!D307</f>
        <v>10/08/2023</v>
      </c>
      <c r="E307" s="3" t="str">
        <f>CONCATENATE(LEFT(dados_01!E307,3),REPT("*",6),RIGHT(dados_01!E307,2))</f>
        <v>186******67</v>
      </c>
      <c r="F307" s="3" t="str">
        <f>dados_01!F307</f>
        <v>INFANTIL 2</v>
      </c>
      <c r="G307" s="3" t="str">
        <f>dados_01!G307</f>
        <v>CRECHE PROFESSORA LEDA MARIA QUEIROZ DO REGO BARROS</v>
      </c>
      <c r="H307" s="3" t="str">
        <f>dados_01!H307</f>
        <v>REGIONAL 2</v>
      </c>
      <c r="I307" s="3">
        <f>dados_01!I307</f>
        <v>0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 spans="1:26">
      <c r="A308" s="3" t="str">
        <f>dados_01!A308</f>
        <v>22/04/2026 11:52:44</v>
      </c>
      <c r="B308" s="3" t="str">
        <f>dados_01!B308</f>
        <v>5</v>
      </c>
      <c r="C308" s="3" t="str">
        <f>IFERROR(__xludf.dummyfunction("JOIN("". "", ARRAYFORMULA(IFERROR(LEFT(SPLIT(dados_01!C308, "" ""), 1))))"),"H. M. F")</f>
        <v>H. M. F</v>
      </c>
      <c r="D308" s="3" t="str">
        <f>dados_01!D308</f>
        <v>15/07/2023</v>
      </c>
      <c r="E308" s="3" t="str">
        <f>CONCATENATE(LEFT(dados_01!E308,3),REPT("*",6),RIGHT(dados_01!E308,2))</f>
        <v>186******47</v>
      </c>
      <c r="F308" s="3" t="str">
        <f>dados_01!F308</f>
        <v>INFANTIL 2</v>
      </c>
      <c r="G308" s="3" t="str">
        <f>dados_01!G308</f>
        <v>CRECHE PROFESSORA LEDA MARIA QUEIROZ DO REGO BARROS</v>
      </c>
      <c r="H308" s="3" t="str">
        <f>dados_01!H308</f>
        <v>REGIONAL 2</v>
      </c>
      <c r="I308" s="3">
        <f>dados_01!I308</f>
        <v>0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 spans="1:26">
      <c r="A309" s="3" t="str">
        <f>dados_01!A309</f>
        <v>01/07/2026 14:38:50</v>
      </c>
      <c r="B309" s="3" t="str">
        <f>dados_01!B309</f>
        <v>6</v>
      </c>
      <c r="C309" s="3" t="str">
        <f>IFERROR(__xludf.dummyfunction("JOIN("". "", ARRAYFORMULA(IFERROR(LEFT(SPLIT(dados_01!C309, "" ""), 1))))"),"A. l. D. F. V. C")</f>
        <v>A. l. D. F. V. C</v>
      </c>
      <c r="D309" s="3" t="str">
        <f>dados_01!D309</f>
        <v>20/05/2023</v>
      </c>
      <c r="E309" s="3" t="str">
        <f>CONCATENATE(LEFT(dados_01!E309,3),REPT("*",6),RIGHT(dados_01!E309,2))</f>
        <v>185******08</v>
      </c>
      <c r="F309" s="3" t="str">
        <f>dados_01!F309</f>
        <v>INFANTIL 2</v>
      </c>
      <c r="G309" s="3" t="str">
        <f>dados_01!G309</f>
        <v>CRECHE PROFESSORA LEDA MARIA QUEIROZ DO REGO BARROS</v>
      </c>
      <c r="H309" s="3" t="str">
        <f>dados_01!H309</f>
        <v>REGIONAL 2</v>
      </c>
      <c r="I309" s="3">
        <f>dados_01!I309</f>
        <v>0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 spans="1:26">
      <c r="A310" s="3" t="str">
        <f>dados_01!A310</f>
        <v>03/09/2026 16:47:49</v>
      </c>
      <c r="B310" s="3" t="str">
        <f>dados_01!B310</f>
        <v>7</v>
      </c>
      <c r="C310" s="3" t="str">
        <f>IFERROR(__xludf.dummyfunction("JOIN("". "", ARRAYFORMULA(IFERROR(LEFT(SPLIT(dados_01!C310, "" ""), 1))))"),"E. s. c. d. c")</f>
        <v>E. s. c. d. c</v>
      </c>
      <c r="D310" s="3" t="str">
        <f>dados_01!D310</f>
        <v>20/11/2023</v>
      </c>
      <c r="E310" s="3" t="str">
        <f>CONCATENATE(LEFT(dados_01!E310,3),REPT("*",6),RIGHT(dados_01!E310,2))</f>
        <v>001******61</v>
      </c>
      <c r="F310" s="3" t="str">
        <f>dados_01!F310</f>
        <v>INFANTIL 2</v>
      </c>
      <c r="G310" s="3" t="str">
        <f>dados_01!G310</f>
        <v>CRECHE PROFESSORA LEDA MARIA QUEIROZ DO REGO BARROS</v>
      </c>
      <c r="H310" s="3" t="str">
        <f>dados_01!H310</f>
        <v>REGIONAL 2</v>
      </c>
      <c r="I310" s="3">
        <f>dados_01!I310</f>
        <v>0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 spans="1:26">
      <c r="A311" s="3" t="str">
        <f>dados_01!A311</f>
        <v>10/09/2026 21:06:59</v>
      </c>
      <c r="B311" s="3" t="str">
        <f>dados_01!B311</f>
        <v>8</v>
      </c>
      <c r="C311" s="3" t="str">
        <f>IFERROR(__xludf.dummyfunction("JOIN("". "", ARRAYFORMULA(IFERROR(LEFT(SPLIT(dados_01!C311, "" ""), 1))))"),"À. S. A. D. S")</f>
        <v>À. S. A. D. S</v>
      </c>
      <c r="D311" s="3" t="str">
        <f>dados_01!D311</f>
        <v>29/12/2023</v>
      </c>
      <c r="E311" s="3" t="str">
        <f>CONCATENATE(LEFT(dados_01!E311,3),REPT("*",6),RIGHT(dados_01!E311,2))</f>
        <v>001******62</v>
      </c>
      <c r="F311" s="3" t="str">
        <f>dados_01!F311</f>
        <v>INFANTIL 2</v>
      </c>
      <c r="G311" s="3" t="str">
        <f>dados_01!G311</f>
        <v>CRECHE PROFESSORA LEDA MARIA QUEIROZ DO REGO BARROS</v>
      </c>
      <c r="H311" s="3" t="str">
        <f>dados_01!H311</f>
        <v>REGIONAL 2</v>
      </c>
      <c r="I311" s="3">
        <f>dados_01!I311</f>
        <v>0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 spans="1:26">
      <c r="A312" s="3" t="str">
        <f>dados_01!A312</f>
        <v>10/09/2026 21:43:57</v>
      </c>
      <c r="B312" s="3" t="str">
        <f>dados_01!B312</f>
        <v>9</v>
      </c>
      <c r="C312" s="3" t="str">
        <f>IFERROR(__xludf.dummyfunction("JOIN("". "", ARRAYFORMULA(IFERROR(LEFT(SPLIT(dados_01!C312, "" ""), 1))))"),"M. R. L. B")</f>
        <v>M. R. L. B</v>
      </c>
      <c r="D312" s="3" t="str">
        <f>dados_01!D312</f>
        <v>10/03/2024</v>
      </c>
      <c r="E312" s="3" t="str">
        <f>CONCATENATE(LEFT(dados_01!E312,3),REPT("*",6),RIGHT(dados_01!E312,2))</f>
        <v>002******95</v>
      </c>
      <c r="F312" s="3" t="str">
        <f>dados_01!F312</f>
        <v>INFANTIL 2</v>
      </c>
      <c r="G312" s="3" t="str">
        <f>dados_01!G312</f>
        <v>CRECHE PROFESSORA LEDA MARIA QUEIROZ DO REGO BARROS</v>
      </c>
      <c r="H312" s="3" t="str">
        <f>dados_01!H312</f>
        <v>REGIONAL 2</v>
      </c>
      <c r="I312" s="3">
        <f>dados_01!I312</f>
        <v>0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 spans="1:26">
      <c r="A313" s="3">
        <f>dados_01!A313</f>
        <v>0</v>
      </c>
      <c r="B313" s="3">
        <f>dados_01!B313</f>
        <v>0</v>
      </c>
      <c r="C313" s="3" t="str">
        <f>IFERROR(__xludf.dummyfunction("JOIN("". "", ARRAYFORMULA(IFERROR(LEFT(SPLIT(dados_01!C313, "" ""), 1))))"),"")</f>
        <v/>
      </c>
      <c r="D313" s="3">
        <f>dados_01!D313</f>
        <v>0</v>
      </c>
      <c r="E313" s="3" t="str">
        <f>CONCATENATE(LEFT(dados_01!E313,3),REPT("*",6),RIGHT(dados_01!E313,2))</f>
        <v>******</v>
      </c>
      <c r="F313" s="3">
        <f>dados_01!F313</f>
        <v>0</v>
      </c>
      <c r="G313" s="3">
        <f>dados_01!G313</f>
        <v>0</v>
      </c>
      <c r="H313" s="3">
        <f>dados_01!H313</f>
        <v>0</v>
      </c>
      <c r="I313" s="3">
        <f>dados_01!I313</f>
        <v>0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 spans="1:26">
      <c r="A314" s="3">
        <f>dados_01!A314</f>
        <v>0</v>
      </c>
      <c r="B314" s="3">
        <f>dados_01!B314</f>
        <v>0</v>
      </c>
      <c r="C314" s="3" t="str">
        <f>IFERROR(__xludf.dummyfunction("JOIN("". "", ARRAYFORMULA(IFERROR(LEFT(SPLIT(dados_01!C314, "" ""), 1))))"),"")</f>
        <v/>
      </c>
      <c r="D314" s="3">
        <f>dados_01!D314</f>
        <v>0</v>
      </c>
      <c r="E314" s="3" t="str">
        <f>CONCATENATE(LEFT(dados_01!E314,3),REPT("*",6),RIGHT(dados_01!E314,2))</f>
        <v>******</v>
      </c>
      <c r="F314" s="3">
        <f>dados_01!F314</f>
        <v>0</v>
      </c>
      <c r="G314" s="3">
        <f>dados_01!G314</f>
        <v>0</v>
      </c>
      <c r="H314" s="3">
        <f>dados_01!H314</f>
        <v>0</v>
      </c>
      <c r="I314" s="3">
        <f>dados_01!I314</f>
        <v>0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 spans="1:26">
      <c r="A315" s="3">
        <f>dados_01!A315</f>
        <v>0</v>
      </c>
      <c r="B315" s="3">
        <f>dados_01!B315</f>
        <v>0</v>
      </c>
      <c r="C315" s="3" t="str">
        <f>IFERROR(__xludf.dummyfunction("JOIN("". "", ARRAYFORMULA(IFERROR(LEFT(SPLIT(dados_01!C315, "" ""), 1))))"),"")</f>
        <v/>
      </c>
      <c r="D315" s="3">
        <f>dados_01!D315</f>
        <v>0</v>
      </c>
      <c r="E315" s="3" t="str">
        <f>CONCATENATE(LEFT(dados_01!E315,3),REPT("*",6),RIGHT(dados_01!E315,2))</f>
        <v>******</v>
      </c>
      <c r="F315" s="3">
        <f>dados_01!F315</f>
        <v>0</v>
      </c>
      <c r="G315" s="3">
        <f>dados_01!G315</f>
        <v>0</v>
      </c>
      <c r="H315" s="3">
        <f>dados_01!H315</f>
        <v>0</v>
      </c>
      <c r="I315" s="3">
        <f>dados_01!I315</f>
        <v>0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 spans="1:26">
      <c r="A316" s="3">
        <f>dados_01!A316</f>
        <v>0</v>
      </c>
      <c r="B316" s="3">
        <f>dados_01!B316</f>
        <v>0</v>
      </c>
      <c r="C316" s="3" t="str">
        <f>IFERROR(__xludf.dummyfunction("JOIN("". "", ARRAYFORMULA(IFERROR(LEFT(SPLIT(dados_01!C316, "" ""), 1))))"),"")</f>
        <v/>
      </c>
      <c r="D316" s="3">
        <f>dados_01!D316</f>
        <v>0</v>
      </c>
      <c r="E316" s="3" t="str">
        <f>CONCATENATE(LEFT(dados_01!E316,3),REPT("*",6),RIGHT(dados_01!E316,2))</f>
        <v>******</v>
      </c>
      <c r="F316" s="3">
        <f>dados_01!F316</f>
        <v>0</v>
      </c>
      <c r="G316" s="3">
        <f>dados_01!G316</f>
        <v>0</v>
      </c>
      <c r="H316" s="3">
        <f>dados_01!H316</f>
        <v>0</v>
      </c>
      <c r="I316" s="3">
        <f>dados_01!I316</f>
        <v>0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 spans="1:26">
      <c r="A317" s="3">
        <f>dados_01!A317</f>
        <v>0</v>
      </c>
      <c r="B317" s="3">
        <f>dados_01!B317</f>
        <v>0</v>
      </c>
      <c r="C317" s="3" t="str">
        <f>IFERROR(__xludf.dummyfunction("JOIN("". "", ARRAYFORMULA(IFERROR(LEFT(SPLIT(dados_01!C317, "" ""), 1))))"),"")</f>
        <v/>
      </c>
      <c r="D317" s="3">
        <f>dados_01!D317</f>
        <v>0</v>
      </c>
      <c r="E317" s="3" t="str">
        <f>CONCATENATE(LEFT(dados_01!E317,3),REPT("*",6),RIGHT(dados_01!E317,2))</f>
        <v>******</v>
      </c>
      <c r="F317" s="3">
        <f>dados_01!F317</f>
        <v>0</v>
      </c>
      <c r="G317" s="3">
        <f>dados_01!G317</f>
        <v>0</v>
      </c>
      <c r="H317" s="3">
        <f>dados_01!H317</f>
        <v>0</v>
      </c>
      <c r="I317" s="3">
        <f>dados_01!I317</f>
        <v>0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 spans="1:26">
      <c r="A318" s="3">
        <f>dados_01!A318</f>
        <v>0</v>
      </c>
      <c r="B318" s="3">
        <f>dados_01!B318</f>
        <v>0</v>
      </c>
      <c r="C318" s="3" t="str">
        <f>IFERROR(__xludf.dummyfunction("JOIN("". "", ARRAYFORMULA(IFERROR(LEFT(SPLIT(dados_01!C318, "" ""), 1))))"),"")</f>
        <v/>
      </c>
      <c r="D318" s="3">
        <f>dados_01!D318</f>
        <v>0</v>
      </c>
      <c r="E318" s="3" t="str">
        <f>CONCATENATE(LEFT(dados_01!E318,3),REPT("*",6),RIGHT(dados_01!E318,2))</f>
        <v>******</v>
      </c>
      <c r="F318" s="3">
        <f>dados_01!F318</f>
        <v>0</v>
      </c>
      <c r="G318" s="3">
        <f>dados_01!G318</f>
        <v>0</v>
      </c>
      <c r="H318" s="3">
        <f>dados_01!H318</f>
        <v>0</v>
      </c>
      <c r="I318" s="3">
        <f>dados_01!I318</f>
        <v>0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 spans="1:26">
      <c r="A319" s="3">
        <f>dados_01!A319</f>
        <v>0</v>
      </c>
      <c r="B319" s="3">
        <f>dados_01!B319</f>
        <v>0</v>
      </c>
      <c r="C319" s="3" t="str">
        <f>IFERROR(__xludf.dummyfunction("JOIN("". "", ARRAYFORMULA(IFERROR(LEFT(SPLIT(dados_01!C319, "" ""), 1))))"),"")</f>
        <v/>
      </c>
      <c r="D319" s="3">
        <f>dados_01!D319</f>
        <v>0</v>
      </c>
      <c r="E319" s="3" t="str">
        <f>CONCATENATE(LEFT(dados_01!E319,3),REPT("*",6),RIGHT(dados_01!E319,2))</f>
        <v>******</v>
      </c>
      <c r="F319" s="3">
        <f>dados_01!F319</f>
        <v>0</v>
      </c>
      <c r="G319" s="3">
        <f>dados_01!G319</f>
        <v>0</v>
      </c>
      <c r="H319" s="3">
        <f>dados_01!H319</f>
        <v>0</v>
      </c>
      <c r="I319" s="3">
        <f>dados_01!I319</f>
        <v>0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 spans="1:26">
      <c r="A320" s="3">
        <f>dados_01!A320</f>
        <v>0</v>
      </c>
      <c r="B320" s="3">
        <f>dados_01!B320</f>
        <v>0</v>
      </c>
      <c r="C320" s="3" t="str">
        <f>IFERROR(__xludf.dummyfunction("JOIN("". "", ARRAYFORMULA(IFERROR(LEFT(SPLIT(dados_01!C320, "" ""), 1))))"),"")</f>
        <v/>
      </c>
      <c r="D320" s="3">
        <f>dados_01!D320</f>
        <v>0</v>
      </c>
      <c r="E320" s="3" t="str">
        <f>CONCATENATE(LEFT(dados_01!E320,3),REPT("*",6),RIGHT(dados_01!E320,2))</f>
        <v>******</v>
      </c>
      <c r="F320" s="3">
        <f>dados_01!F320</f>
        <v>0</v>
      </c>
      <c r="G320" s="3">
        <f>dados_01!G320</f>
        <v>0</v>
      </c>
      <c r="H320" s="3">
        <f>dados_01!H320</f>
        <v>0</v>
      </c>
      <c r="I320" s="3">
        <f>dados_01!I320</f>
        <v>0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 spans="1:26">
      <c r="A321" s="3">
        <f>dados_01!A321</f>
        <v>0</v>
      </c>
      <c r="B321" s="3">
        <f>dados_01!B321</f>
        <v>0</v>
      </c>
      <c r="C321" s="3" t="str">
        <f>IFERROR(__xludf.dummyfunction("JOIN("". "", ARRAYFORMULA(IFERROR(LEFT(SPLIT(dados_01!C321, "" ""), 1))))"),"")</f>
        <v/>
      </c>
      <c r="D321" s="3">
        <f>dados_01!D321</f>
        <v>0</v>
      </c>
      <c r="E321" s="3" t="str">
        <f>CONCATENATE(LEFT(dados_01!E321,3),REPT("*",6),RIGHT(dados_01!E321,2))</f>
        <v>******</v>
      </c>
      <c r="F321" s="3">
        <f>dados_01!F321</f>
        <v>0</v>
      </c>
      <c r="G321" s="3">
        <f>dados_01!G321</f>
        <v>0</v>
      </c>
      <c r="H321" s="3">
        <f>dados_01!H321</f>
        <v>0</v>
      </c>
      <c r="I321" s="3">
        <f>dados_01!I321</f>
        <v>0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 spans="1:26">
      <c r="A322" s="3">
        <f>dados_01!A322</f>
        <v>0</v>
      </c>
      <c r="B322" s="3">
        <f>dados_01!B322</f>
        <v>0</v>
      </c>
      <c r="C322" s="3" t="str">
        <f>IFERROR(__xludf.dummyfunction("JOIN("". "", ARRAYFORMULA(IFERROR(LEFT(SPLIT(dados_01!C322, "" ""), 1))))"),"")</f>
        <v/>
      </c>
      <c r="D322" s="3">
        <f>dados_01!D322</f>
        <v>0</v>
      </c>
      <c r="E322" s="3" t="str">
        <f>CONCATENATE(LEFT(dados_01!E322,3),REPT("*",6),RIGHT(dados_01!E322,2))</f>
        <v>******</v>
      </c>
      <c r="F322" s="3">
        <f>dados_01!F322</f>
        <v>0</v>
      </c>
      <c r="G322" s="3">
        <f>dados_01!G322</f>
        <v>0</v>
      </c>
      <c r="H322" s="3">
        <f>dados_01!H322</f>
        <v>0</v>
      </c>
      <c r="I322" s="3">
        <f>dados_01!I322</f>
        <v>0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 spans="1:26">
      <c r="A323" s="3">
        <f>dados_01!A323</f>
        <v>0</v>
      </c>
      <c r="B323" s="3">
        <f>dados_01!B323</f>
        <v>0</v>
      </c>
      <c r="C323" s="3" t="str">
        <f>IFERROR(__xludf.dummyfunction("JOIN("". "", ARRAYFORMULA(IFERROR(LEFT(SPLIT(dados_01!C323, "" ""), 1))))"),"")</f>
        <v/>
      </c>
      <c r="D323" s="3">
        <f>dados_01!D323</f>
        <v>0</v>
      </c>
      <c r="E323" s="3" t="str">
        <f>CONCATENATE(LEFT(dados_01!E323,3),REPT("*",6),RIGHT(dados_01!E323,2))</f>
        <v>******</v>
      </c>
      <c r="F323" s="3">
        <f>dados_01!F323</f>
        <v>0</v>
      </c>
      <c r="G323" s="3">
        <f>dados_01!G323</f>
        <v>0</v>
      </c>
      <c r="H323" s="3">
        <f>dados_01!H323</f>
        <v>0</v>
      </c>
      <c r="I323" s="3">
        <f>dados_01!I323</f>
        <v>0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 spans="1:26">
      <c r="A324" s="3">
        <f>dados_01!A324</f>
        <v>0</v>
      </c>
      <c r="B324" s="3">
        <f>dados_01!B324</f>
        <v>0</v>
      </c>
      <c r="C324" s="3" t="str">
        <f>IFERROR(__xludf.dummyfunction("JOIN("". "", ARRAYFORMULA(IFERROR(LEFT(SPLIT(dados_01!C324, "" ""), 1))))"),"")</f>
        <v/>
      </c>
      <c r="D324" s="3">
        <f>dados_01!D324</f>
        <v>0</v>
      </c>
      <c r="E324" s="3" t="str">
        <f>CONCATENATE(LEFT(dados_01!E324,3),REPT("*",6),RIGHT(dados_01!E324,2))</f>
        <v>******</v>
      </c>
      <c r="F324" s="3">
        <f>dados_01!F324</f>
        <v>0</v>
      </c>
      <c r="G324" s="3">
        <f>dados_01!G324</f>
        <v>0</v>
      </c>
      <c r="H324" s="3">
        <f>dados_01!H324</f>
        <v>0</v>
      </c>
      <c r="I324" s="3">
        <f>dados_01!I324</f>
        <v>0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 spans="1:26">
      <c r="A325" s="3">
        <f>dados_01!A325</f>
        <v>0</v>
      </c>
      <c r="B325" s="3">
        <f>dados_01!B325</f>
        <v>0</v>
      </c>
      <c r="C325" s="3" t="str">
        <f>IFERROR(__xludf.dummyfunction("JOIN("". "", ARRAYFORMULA(IFERROR(LEFT(SPLIT(dados_01!C325, "" ""), 1))))"),"")</f>
        <v/>
      </c>
      <c r="D325" s="3">
        <f>dados_01!D325</f>
        <v>0</v>
      </c>
      <c r="E325" s="3" t="str">
        <f>CONCATENATE(LEFT(dados_01!E325,3),REPT("*",6),RIGHT(dados_01!E325,2))</f>
        <v>******</v>
      </c>
      <c r="F325" s="3">
        <f>dados_01!F325</f>
        <v>0</v>
      </c>
      <c r="G325" s="3">
        <f>dados_01!G325</f>
        <v>0</v>
      </c>
      <c r="H325" s="3">
        <f>dados_01!H325</f>
        <v>0</v>
      </c>
      <c r="I325" s="3">
        <f>dados_01!I325</f>
        <v>0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 spans="1:26">
      <c r="A326" s="3">
        <f>dados_01!A326</f>
        <v>0</v>
      </c>
      <c r="B326" s="3">
        <f>dados_01!B326</f>
        <v>0</v>
      </c>
      <c r="C326" s="3" t="str">
        <f>IFERROR(__xludf.dummyfunction("JOIN("". "", ARRAYFORMULA(IFERROR(LEFT(SPLIT(dados_01!C326, "" ""), 1))))"),"")</f>
        <v/>
      </c>
      <c r="D326" s="3">
        <f>dados_01!D326</f>
        <v>0</v>
      </c>
      <c r="E326" s="3" t="str">
        <f>CONCATENATE(LEFT(dados_01!E326,3),REPT("*",6),RIGHT(dados_01!E326,2))</f>
        <v>******</v>
      </c>
      <c r="F326" s="3">
        <f>dados_01!F326</f>
        <v>0</v>
      </c>
      <c r="G326" s="3">
        <f>dados_01!G326</f>
        <v>0</v>
      </c>
      <c r="H326" s="3">
        <f>dados_01!H326</f>
        <v>0</v>
      </c>
      <c r="I326" s="3">
        <f>dados_01!I326</f>
        <v>0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 spans="1:26">
      <c r="A327" s="3">
        <f>dados_01!A327</f>
        <v>0</v>
      </c>
      <c r="B327" s="3">
        <f>dados_01!B327</f>
        <v>0</v>
      </c>
      <c r="C327" s="3" t="str">
        <f>IFERROR(__xludf.dummyfunction("JOIN("". "", ARRAYFORMULA(IFERROR(LEFT(SPLIT(dados_01!C327, "" ""), 1))))"),"")</f>
        <v/>
      </c>
      <c r="D327" s="3">
        <f>dados_01!D327</f>
        <v>0</v>
      </c>
      <c r="E327" s="3" t="str">
        <f>CONCATENATE(LEFT(dados_01!E327,3),REPT("*",6),RIGHT(dados_01!E327,2))</f>
        <v>******</v>
      </c>
      <c r="F327" s="3">
        <f>dados_01!F327</f>
        <v>0</v>
      </c>
      <c r="G327" s="3">
        <f>dados_01!G327</f>
        <v>0</v>
      </c>
      <c r="H327" s="3">
        <f>dados_01!H327</f>
        <v>0</v>
      </c>
      <c r="I327" s="3">
        <f>dados_01!I327</f>
        <v>0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 spans="1:26">
      <c r="A328" s="3">
        <f>dados_01!A328</f>
        <v>0</v>
      </c>
      <c r="B328" s="3">
        <f>dados_01!B328</f>
        <v>0</v>
      </c>
      <c r="C328" s="3" t="str">
        <f>IFERROR(__xludf.dummyfunction("JOIN("". "", ARRAYFORMULA(IFERROR(LEFT(SPLIT(dados_01!C328, "" ""), 1))))"),"")</f>
        <v/>
      </c>
      <c r="D328" s="3">
        <f>dados_01!D328</f>
        <v>0</v>
      </c>
      <c r="E328" s="3" t="str">
        <f>CONCATENATE(LEFT(dados_01!E328,3),REPT("*",6),RIGHT(dados_01!E328,2))</f>
        <v>******</v>
      </c>
      <c r="F328" s="3">
        <f>dados_01!F328</f>
        <v>0</v>
      </c>
      <c r="G328" s="3">
        <f>dados_01!G328</f>
        <v>0</v>
      </c>
      <c r="H328" s="3">
        <f>dados_01!H328</f>
        <v>0</v>
      </c>
      <c r="I328" s="3">
        <f>dados_01!I328</f>
        <v>0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 spans="1:26">
      <c r="A329" s="3">
        <f>dados_01!A329</f>
        <v>0</v>
      </c>
      <c r="B329" s="3">
        <f>dados_01!B329</f>
        <v>0</v>
      </c>
      <c r="C329" s="3" t="str">
        <f>IFERROR(__xludf.dummyfunction("JOIN("". "", ARRAYFORMULA(IFERROR(LEFT(SPLIT(dados_01!C329, "" ""), 1))))"),"")</f>
        <v/>
      </c>
      <c r="D329" s="3">
        <f>dados_01!D329</f>
        <v>0</v>
      </c>
      <c r="E329" s="3" t="str">
        <f>CONCATENATE(LEFT(dados_01!E329,3),REPT("*",6),RIGHT(dados_01!E329,2))</f>
        <v>******</v>
      </c>
      <c r="F329" s="3">
        <f>dados_01!F329</f>
        <v>0</v>
      </c>
      <c r="G329" s="3">
        <f>dados_01!G329</f>
        <v>0</v>
      </c>
      <c r="H329" s="3">
        <f>dados_01!H329</f>
        <v>0</v>
      </c>
      <c r="I329" s="3">
        <f>dados_01!I329</f>
        <v>0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 spans="1:26">
      <c r="A330" s="3">
        <f>dados_01!A330</f>
        <v>0</v>
      </c>
      <c r="B330" s="3">
        <f>dados_01!B330</f>
        <v>0</v>
      </c>
      <c r="C330" s="3" t="str">
        <f>IFERROR(__xludf.dummyfunction("JOIN("". "", ARRAYFORMULA(IFERROR(LEFT(SPLIT(dados_01!C330, "" ""), 1))))"),"")</f>
        <v/>
      </c>
      <c r="D330" s="3">
        <f>dados_01!D330</f>
        <v>0</v>
      </c>
      <c r="E330" s="3" t="str">
        <f>CONCATENATE(LEFT(dados_01!E330,3),REPT("*",6),RIGHT(dados_01!E330,2))</f>
        <v>******</v>
      </c>
      <c r="F330" s="3">
        <f>dados_01!F330</f>
        <v>0</v>
      </c>
      <c r="G330" s="3">
        <f>dados_01!G330</f>
        <v>0</v>
      </c>
      <c r="H330" s="3">
        <f>dados_01!H330</f>
        <v>0</v>
      </c>
      <c r="I330" s="3">
        <f>dados_01!I330</f>
        <v>0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 spans="1:26">
      <c r="A331" s="3">
        <f>dados_01!A331</f>
        <v>0</v>
      </c>
      <c r="B331" s="3">
        <f>dados_01!B331</f>
        <v>0</v>
      </c>
      <c r="C331" s="3" t="str">
        <f>IFERROR(__xludf.dummyfunction("JOIN("". "", ARRAYFORMULA(IFERROR(LEFT(SPLIT(dados_01!C331, "" ""), 1))))"),"")</f>
        <v/>
      </c>
      <c r="D331" s="3">
        <f>dados_01!D331</f>
        <v>0</v>
      </c>
      <c r="E331" s="3" t="str">
        <f>CONCATENATE(LEFT(dados_01!E331,3),REPT("*",6),RIGHT(dados_01!E331,2))</f>
        <v>******</v>
      </c>
      <c r="F331" s="3">
        <f>dados_01!F331</f>
        <v>0</v>
      </c>
      <c r="G331" s="3">
        <f>dados_01!G331</f>
        <v>0</v>
      </c>
      <c r="H331" s="3">
        <f>dados_01!H331</f>
        <v>0</v>
      </c>
      <c r="I331" s="3">
        <f>dados_01!I331</f>
        <v>0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 spans="1:26">
      <c r="A332" s="3">
        <f>dados_01!A332</f>
        <v>0</v>
      </c>
      <c r="B332" s="3">
        <f>dados_01!B332</f>
        <v>0</v>
      </c>
      <c r="C332" s="3" t="str">
        <f>IFERROR(__xludf.dummyfunction("JOIN("". "", ARRAYFORMULA(IFERROR(LEFT(SPLIT(dados_01!C332, "" ""), 1))))"),"")</f>
        <v/>
      </c>
      <c r="D332" s="3">
        <f>dados_01!D332</f>
        <v>0</v>
      </c>
      <c r="E332" s="3" t="str">
        <f>CONCATENATE(LEFT(dados_01!E332,3),REPT("*",6),RIGHT(dados_01!E332,2))</f>
        <v>******</v>
      </c>
      <c r="F332" s="3">
        <f>dados_01!F332</f>
        <v>0</v>
      </c>
      <c r="G332" s="3">
        <f>dados_01!G332</f>
        <v>0</v>
      </c>
      <c r="H332" s="3">
        <f>dados_01!H332</f>
        <v>0</v>
      </c>
      <c r="I332" s="3">
        <f>dados_01!I332</f>
        <v>0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 spans="1:26">
      <c r="A333" s="3">
        <f>dados_01!A333</f>
        <v>0</v>
      </c>
      <c r="B333" s="3">
        <f>dados_01!B333</f>
        <v>0</v>
      </c>
      <c r="C333" s="3" t="str">
        <f>IFERROR(__xludf.dummyfunction("JOIN("". "", ARRAYFORMULA(IFERROR(LEFT(SPLIT(dados_01!C333, "" ""), 1))))"),"")</f>
        <v/>
      </c>
      <c r="D333" s="3">
        <f>dados_01!D333</f>
        <v>0</v>
      </c>
      <c r="E333" s="3" t="str">
        <f>CONCATENATE(LEFT(dados_01!E333,3),REPT("*",6),RIGHT(dados_01!E333,2))</f>
        <v>******</v>
      </c>
      <c r="F333" s="3">
        <f>dados_01!F333</f>
        <v>0</v>
      </c>
      <c r="G333" s="3">
        <f>dados_01!G333</f>
        <v>0</v>
      </c>
      <c r="H333" s="3">
        <f>dados_01!H333</f>
        <v>0</v>
      </c>
      <c r="I333" s="3">
        <f>dados_01!I333</f>
        <v>0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 spans="1:26">
      <c r="A334" s="3">
        <f>dados_01!A334</f>
        <v>0</v>
      </c>
      <c r="B334" s="3">
        <f>dados_01!B334</f>
        <v>0</v>
      </c>
      <c r="C334" s="3" t="str">
        <f>IFERROR(__xludf.dummyfunction("JOIN("". "", ARRAYFORMULA(IFERROR(LEFT(SPLIT(dados_01!C334, "" ""), 1))))"),"")</f>
        <v/>
      </c>
      <c r="D334" s="3">
        <f>dados_01!D334</f>
        <v>0</v>
      </c>
      <c r="E334" s="3" t="str">
        <f>CONCATENATE(LEFT(dados_01!E334,3),REPT("*",6),RIGHT(dados_01!E334,2))</f>
        <v>******</v>
      </c>
      <c r="F334" s="3">
        <f>dados_01!F334</f>
        <v>0</v>
      </c>
      <c r="G334" s="3">
        <f>dados_01!G334</f>
        <v>0</v>
      </c>
      <c r="H334" s="3">
        <f>dados_01!H334</f>
        <v>0</v>
      </c>
      <c r="I334" s="3">
        <f>dados_01!I334</f>
        <v>0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 spans="1:26">
      <c r="A335" s="3">
        <f>dados_01!A335</f>
        <v>0</v>
      </c>
      <c r="B335" s="3">
        <f>dados_01!B335</f>
        <v>0</v>
      </c>
      <c r="C335" s="3" t="str">
        <f>IFERROR(__xludf.dummyfunction("JOIN("". "", ARRAYFORMULA(IFERROR(LEFT(SPLIT(dados_01!C335, "" ""), 1))))"),"")</f>
        <v/>
      </c>
      <c r="D335" s="3">
        <f>dados_01!D335</f>
        <v>0</v>
      </c>
      <c r="E335" s="3" t="str">
        <f>CONCATENATE(LEFT(dados_01!E335,3),REPT("*",6),RIGHT(dados_01!E335,2))</f>
        <v>******</v>
      </c>
      <c r="F335" s="3">
        <f>dados_01!F335</f>
        <v>0</v>
      </c>
      <c r="G335" s="3">
        <f>dados_01!G335</f>
        <v>0</v>
      </c>
      <c r="H335" s="3">
        <f>dados_01!H335</f>
        <v>0</v>
      </c>
      <c r="I335" s="3">
        <f>dados_01!I335</f>
        <v>0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 spans="1:26">
      <c r="A336" s="3">
        <f>dados_01!A336</f>
        <v>0</v>
      </c>
      <c r="B336" s="3">
        <f>dados_01!B336</f>
        <v>0</v>
      </c>
      <c r="C336" s="3" t="str">
        <f>IFERROR(__xludf.dummyfunction("JOIN("". "", ARRAYFORMULA(IFERROR(LEFT(SPLIT(dados_01!C336, "" ""), 1))))"),"")</f>
        <v/>
      </c>
      <c r="D336" s="3">
        <f>dados_01!D336</f>
        <v>0</v>
      </c>
      <c r="E336" s="3" t="str">
        <f>CONCATENATE(LEFT(dados_01!E336,3),REPT("*",6),RIGHT(dados_01!E336,2))</f>
        <v>******</v>
      </c>
      <c r="F336" s="3">
        <f>dados_01!F336</f>
        <v>0</v>
      </c>
      <c r="G336" s="3">
        <f>dados_01!G336</f>
        <v>0</v>
      </c>
      <c r="H336" s="3">
        <f>dados_01!H336</f>
        <v>0</v>
      </c>
      <c r="I336" s="3">
        <f>dados_01!I336</f>
        <v>0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 spans="1:26">
      <c r="A337" s="3">
        <f>dados_01!A337</f>
        <v>0</v>
      </c>
      <c r="B337" s="3">
        <f>dados_01!B337</f>
        <v>0</v>
      </c>
      <c r="C337" s="3" t="str">
        <f>IFERROR(__xludf.dummyfunction("JOIN("". "", ARRAYFORMULA(IFERROR(LEFT(SPLIT(dados_01!C337, "" ""), 1))))"),"")</f>
        <v/>
      </c>
      <c r="D337" s="3">
        <f>dados_01!D337</f>
        <v>0</v>
      </c>
      <c r="E337" s="3" t="str">
        <f>CONCATENATE(LEFT(dados_01!E337,3),REPT("*",6),RIGHT(dados_01!E337,2))</f>
        <v>******</v>
      </c>
      <c r="F337" s="3">
        <f>dados_01!F337</f>
        <v>0</v>
      </c>
      <c r="G337" s="3">
        <f>dados_01!G337</f>
        <v>0</v>
      </c>
      <c r="H337" s="3">
        <f>dados_01!H337</f>
        <v>0</v>
      </c>
      <c r="I337" s="3">
        <f>dados_01!I337</f>
        <v>0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 spans="1:26">
      <c r="A338" s="3">
        <f>dados_01!A338</f>
        <v>0</v>
      </c>
      <c r="B338" s="3">
        <f>dados_01!B338</f>
        <v>0</v>
      </c>
      <c r="C338" s="3" t="str">
        <f>IFERROR(__xludf.dummyfunction("JOIN("". "", ARRAYFORMULA(IFERROR(LEFT(SPLIT(dados_01!C338, "" ""), 1))))"),"")</f>
        <v/>
      </c>
      <c r="D338" s="3">
        <f>dados_01!D338</f>
        <v>0</v>
      </c>
      <c r="E338" s="3" t="str">
        <f>CONCATENATE(LEFT(dados_01!E338,3),REPT("*",6),RIGHT(dados_01!E338,2))</f>
        <v>******</v>
      </c>
      <c r="F338" s="3">
        <f>dados_01!F338</f>
        <v>0</v>
      </c>
      <c r="G338" s="3">
        <f>dados_01!G338</f>
        <v>0</v>
      </c>
      <c r="H338" s="3">
        <f>dados_01!H338</f>
        <v>0</v>
      </c>
      <c r="I338" s="3">
        <f>dados_01!I338</f>
        <v>0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 spans="1:26">
      <c r="A339" s="3">
        <f>dados_01!A339</f>
        <v>0</v>
      </c>
      <c r="B339" s="3">
        <f>dados_01!B339</f>
        <v>0</v>
      </c>
      <c r="C339" s="3" t="str">
        <f>IFERROR(__xludf.dummyfunction("JOIN("". "", ARRAYFORMULA(IFERROR(LEFT(SPLIT(dados_01!C339, "" ""), 1))))"),"")</f>
        <v/>
      </c>
      <c r="D339" s="3">
        <f>dados_01!D339</f>
        <v>0</v>
      </c>
      <c r="E339" s="3" t="str">
        <f>CONCATENATE(LEFT(dados_01!E339,3),REPT("*",6),RIGHT(dados_01!E339,2))</f>
        <v>******</v>
      </c>
      <c r="F339" s="3">
        <f>dados_01!F339</f>
        <v>0</v>
      </c>
      <c r="G339" s="3">
        <f>dados_01!G339</f>
        <v>0</v>
      </c>
      <c r="H339" s="3">
        <f>dados_01!H339</f>
        <v>0</v>
      </c>
      <c r="I339" s="3">
        <f>dados_01!I339</f>
        <v>0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 spans="1:26">
      <c r="A340" s="3">
        <f>dados_01!A340</f>
        <v>0</v>
      </c>
      <c r="B340" s="3">
        <f>dados_01!B340</f>
        <v>0</v>
      </c>
      <c r="C340" s="3" t="str">
        <f>IFERROR(__xludf.dummyfunction("JOIN("". "", ARRAYFORMULA(IFERROR(LEFT(SPLIT(dados_01!C340, "" ""), 1))))"),"")</f>
        <v/>
      </c>
      <c r="D340" s="3">
        <f>dados_01!D340</f>
        <v>0</v>
      </c>
      <c r="E340" s="3" t="str">
        <f>CONCATENATE(LEFT(dados_01!E340,3),REPT("*",6),RIGHT(dados_01!E340,2))</f>
        <v>******</v>
      </c>
      <c r="F340" s="3">
        <f>dados_01!F340</f>
        <v>0</v>
      </c>
      <c r="G340" s="3">
        <f>dados_01!G340</f>
        <v>0</v>
      </c>
      <c r="H340" s="3">
        <f>dados_01!H340</f>
        <v>0</v>
      </c>
      <c r="I340" s="3">
        <f>dados_01!I340</f>
        <v>0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 spans="1:26">
      <c r="A341" s="3">
        <f>dados_01!A341</f>
        <v>0</v>
      </c>
      <c r="B341" s="3">
        <f>dados_01!B341</f>
        <v>0</v>
      </c>
      <c r="C341" s="3" t="str">
        <f>IFERROR(__xludf.dummyfunction("JOIN("". "", ARRAYFORMULA(IFERROR(LEFT(SPLIT(dados_01!C341, "" ""), 1))))"),"")</f>
        <v/>
      </c>
      <c r="D341" s="3">
        <f>dados_01!D341</f>
        <v>0</v>
      </c>
      <c r="E341" s="3" t="str">
        <f>CONCATENATE(LEFT(dados_01!E341,3),REPT("*",6),RIGHT(dados_01!E341,2))</f>
        <v>******</v>
      </c>
      <c r="F341" s="3">
        <f>dados_01!F341</f>
        <v>0</v>
      </c>
      <c r="G341" s="3">
        <f>dados_01!G341</f>
        <v>0</v>
      </c>
      <c r="H341" s="3">
        <f>dados_01!H341</f>
        <v>0</v>
      </c>
      <c r="I341" s="3">
        <f>dados_01!I341</f>
        <v>0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 spans="1:26">
      <c r="A342" s="3">
        <f>dados_01!A342</f>
        <v>0</v>
      </c>
      <c r="B342" s="3">
        <f>dados_01!B342</f>
        <v>0</v>
      </c>
      <c r="C342" s="3" t="str">
        <f>IFERROR(__xludf.dummyfunction("JOIN("". "", ARRAYFORMULA(IFERROR(LEFT(SPLIT(dados_01!C342, "" ""), 1))))"),"")</f>
        <v/>
      </c>
      <c r="D342" s="3">
        <f>dados_01!D342</f>
        <v>0</v>
      </c>
      <c r="E342" s="3" t="str">
        <f>CONCATENATE(LEFT(dados_01!E342,3),REPT("*",6),RIGHT(dados_01!E342,2))</f>
        <v>******</v>
      </c>
      <c r="F342" s="3">
        <f>dados_01!F342</f>
        <v>0</v>
      </c>
      <c r="G342" s="3">
        <f>dados_01!G342</f>
        <v>0</v>
      </c>
      <c r="H342" s="3">
        <f>dados_01!H342</f>
        <v>0</v>
      </c>
      <c r="I342" s="3">
        <f>dados_01!I342</f>
        <v>0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 spans="1:26">
      <c r="A343" s="3">
        <f>dados_01!A343</f>
        <v>0</v>
      </c>
      <c r="B343" s="3">
        <f>dados_01!B343</f>
        <v>0</v>
      </c>
      <c r="C343" s="3" t="str">
        <f>IFERROR(__xludf.dummyfunction("JOIN("". "", ARRAYFORMULA(IFERROR(LEFT(SPLIT(dados_01!C343, "" ""), 1))))"),"")</f>
        <v/>
      </c>
      <c r="D343" s="3">
        <f>dados_01!D343</f>
        <v>0</v>
      </c>
      <c r="E343" s="3" t="str">
        <f>CONCATENATE(LEFT(dados_01!E343,3),REPT("*",6),RIGHT(dados_01!E343,2))</f>
        <v>******</v>
      </c>
      <c r="F343" s="3">
        <f>dados_01!F343</f>
        <v>0</v>
      </c>
      <c r="G343" s="3">
        <f>dados_01!G343</f>
        <v>0</v>
      </c>
      <c r="H343" s="3">
        <f>dados_01!H343</f>
        <v>0</v>
      </c>
      <c r="I343" s="3">
        <f>dados_01!I343</f>
        <v>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 spans="1:26">
      <c r="A344" s="3">
        <f>dados_01!A344</f>
        <v>0</v>
      </c>
      <c r="B344" s="3">
        <f>dados_01!B344</f>
        <v>0</v>
      </c>
      <c r="C344" s="3" t="str">
        <f>IFERROR(__xludf.dummyfunction("JOIN("". "", ARRAYFORMULA(IFERROR(LEFT(SPLIT(dados_01!C344, "" ""), 1))))"),"")</f>
        <v/>
      </c>
      <c r="D344" s="3">
        <f>dados_01!D344</f>
        <v>0</v>
      </c>
      <c r="E344" s="3" t="str">
        <f>CONCATENATE(LEFT(dados_01!E344,3),REPT("*",6),RIGHT(dados_01!E344,2))</f>
        <v>******</v>
      </c>
      <c r="F344" s="3">
        <f>dados_01!F344</f>
        <v>0</v>
      </c>
      <c r="G344" s="3">
        <f>dados_01!G344</f>
        <v>0</v>
      </c>
      <c r="H344" s="3">
        <f>dados_01!H344</f>
        <v>0</v>
      </c>
      <c r="I344" s="3">
        <f>dados_01!I344</f>
        <v>0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 spans="1:26">
      <c r="A345" s="3">
        <f>dados_01!A345</f>
        <v>0</v>
      </c>
      <c r="B345" s="3">
        <f>dados_01!B345</f>
        <v>0</v>
      </c>
      <c r="C345" s="3" t="str">
        <f>IFERROR(__xludf.dummyfunction("JOIN("". "", ARRAYFORMULA(IFERROR(LEFT(SPLIT(dados_01!C345, "" ""), 1))))"),"")</f>
        <v/>
      </c>
      <c r="D345" s="3">
        <f>dados_01!D345</f>
        <v>0</v>
      </c>
      <c r="E345" s="3" t="str">
        <f>CONCATENATE(LEFT(dados_01!E345,3),REPT("*",6),RIGHT(dados_01!E345,2))</f>
        <v>******</v>
      </c>
      <c r="F345" s="3">
        <f>dados_01!F345</f>
        <v>0</v>
      </c>
      <c r="G345" s="3">
        <f>dados_01!G345</f>
        <v>0</v>
      </c>
      <c r="H345" s="3">
        <f>dados_01!H345</f>
        <v>0</v>
      </c>
      <c r="I345" s="3">
        <f>dados_01!I345</f>
        <v>0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 spans="1:26">
      <c r="A346" s="3">
        <f>dados_01!A346</f>
        <v>0</v>
      </c>
      <c r="B346" s="3">
        <f>dados_01!B346</f>
        <v>0</v>
      </c>
      <c r="C346" s="3" t="str">
        <f>IFERROR(__xludf.dummyfunction("JOIN("". "", ARRAYFORMULA(IFERROR(LEFT(SPLIT(dados_01!C346, "" ""), 1))))"),"")</f>
        <v/>
      </c>
      <c r="D346" s="3">
        <f>dados_01!D346</f>
        <v>0</v>
      </c>
      <c r="E346" s="3" t="str">
        <f>CONCATENATE(LEFT(dados_01!E346,3),REPT("*",6),RIGHT(dados_01!E346,2))</f>
        <v>******</v>
      </c>
      <c r="F346" s="3">
        <f>dados_01!F346</f>
        <v>0</v>
      </c>
      <c r="G346" s="3">
        <f>dados_01!G346</f>
        <v>0</v>
      </c>
      <c r="H346" s="3">
        <f>dados_01!H346</f>
        <v>0</v>
      </c>
      <c r="I346" s="3">
        <f>dados_01!I346</f>
        <v>0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 spans="1:26">
      <c r="A347" s="3">
        <f>dados_01!A347</f>
        <v>0</v>
      </c>
      <c r="B347" s="3">
        <f>dados_01!B347</f>
        <v>0</v>
      </c>
      <c r="C347" s="3" t="str">
        <f>IFERROR(__xludf.dummyfunction("JOIN("". "", ARRAYFORMULA(IFERROR(LEFT(SPLIT(dados_01!C347, "" ""), 1))))"),"")</f>
        <v/>
      </c>
      <c r="D347" s="3">
        <f>dados_01!D347</f>
        <v>0</v>
      </c>
      <c r="E347" s="3" t="str">
        <f>CONCATENATE(LEFT(dados_01!E347,3),REPT("*",6),RIGHT(dados_01!E347,2))</f>
        <v>******</v>
      </c>
      <c r="F347" s="3">
        <f>dados_01!F347</f>
        <v>0</v>
      </c>
      <c r="G347" s="3">
        <f>dados_01!G347</f>
        <v>0</v>
      </c>
      <c r="H347" s="3">
        <f>dados_01!H347</f>
        <v>0</v>
      </c>
      <c r="I347" s="3">
        <f>dados_01!I347</f>
        <v>0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 spans="1:26">
      <c r="A348" s="3">
        <f>dados_01!A348</f>
        <v>0</v>
      </c>
      <c r="B348" s="3">
        <f>dados_01!B348</f>
        <v>0</v>
      </c>
      <c r="C348" s="3" t="str">
        <f>IFERROR(__xludf.dummyfunction("JOIN("". "", ARRAYFORMULA(IFERROR(LEFT(SPLIT(dados_01!C348, "" ""), 1))))"),"")</f>
        <v/>
      </c>
      <c r="D348" s="3">
        <f>dados_01!D348</f>
        <v>0</v>
      </c>
      <c r="E348" s="3" t="str">
        <f>CONCATENATE(LEFT(dados_01!E348,3),REPT("*",6),RIGHT(dados_01!E348,2))</f>
        <v>******</v>
      </c>
      <c r="F348" s="3">
        <f>dados_01!F348</f>
        <v>0</v>
      </c>
      <c r="G348" s="3">
        <f>dados_01!G348</f>
        <v>0</v>
      </c>
      <c r="H348" s="3">
        <f>dados_01!H348</f>
        <v>0</v>
      </c>
      <c r="I348" s="3">
        <f>dados_01!I348</f>
        <v>0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 spans="1:26">
      <c r="A349" s="3">
        <f>dados_01!A349</f>
        <v>0</v>
      </c>
      <c r="B349" s="3">
        <f>dados_01!B349</f>
        <v>0</v>
      </c>
      <c r="C349" s="3" t="str">
        <f>IFERROR(__xludf.dummyfunction("JOIN("". "", ARRAYFORMULA(IFERROR(LEFT(SPLIT(dados_01!C349, "" ""), 1))))"),"")</f>
        <v/>
      </c>
      <c r="D349" s="3">
        <f>dados_01!D349</f>
        <v>0</v>
      </c>
      <c r="E349" s="3" t="str">
        <f>CONCATENATE(LEFT(dados_01!E349,3),REPT("*",6),RIGHT(dados_01!E349,2))</f>
        <v>******</v>
      </c>
      <c r="F349" s="3">
        <f>dados_01!F349</f>
        <v>0</v>
      </c>
      <c r="G349" s="3">
        <f>dados_01!G349</f>
        <v>0</v>
      </c>
      <c r="H349" s="3">
        <f>dados_01!H349</f>
        <v>0</v>
      </c>
      <c r="I349" s="3">
        <f>dados_01!I349</f>
        <v>0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 spans="1:26">
      <c r="A350" s="3">
        <f>dados_01!A350</f>
        <v>0</v>
      </c>
      <c r="B350" s="3">
        <f>dados_01!B350</f>
        <v>0</v>
      </c>
      <c r="C350" s="3" t="str">
        <f>IFERROR(__xludf.dummyfunction("JOIN("". "", ARRAYFORMULA(IFERROR(LEFT(SPLIT(dados_01!C350, "" ""), 1))))"),"")</f>
        <v/>
      </c>
      <c r="D350" s="3">
        <f>dados_01!D350</f>
        <v>0</v>
      </c>
      <c r="E350" s="3" t="str">
        <f>CONCATENATE(LEFT(dados_01!E350,3),REPT("*",6),RIGHT(dados_01!E350,2))</f>
        <v>******</v>
      </c>
      <c r="F350" s="3">
        <f>dados_01!F350</f>
        <v>0</v>
      </c>
      <c r="G350" s="3">
        <f>dados_01!G350</f>
        <v>0</v>
      </c>
      <c r="H350" s="3">
        <f>dados_01!H350</f>
        <v>0</v>
      </c>
      <c r="I350" s="3">
        <f>dados_01!I350</f>
        <v>0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 spans="1:26">
      <c r="A351" s="3">
        <f>dados_01!A351</f>
        <v>0</v>
      </c>
      <c r="B351" s="3">
        <f>dados_01!B351</f>
        <v>0</v>
      </c>
      <c r="C351" s="3" t="str">
        <f>IFERROR(__xludf.dummyfunction("JOIN("". "", ARRAYFORMULA(IFERROR(LEFT(SPLIT(dados_01!C351, "" ""), 1))))"),"")</f>
        <v/>
      </c>
      <c r="D351" s="3">
        <f>dados_01!D351</f>
        <v>0</v>
      </c>
      <c r="E351" s="3" t="str">
        <f>CONCATENATE(LEFT(dados_01!E351,3),REPT("*",6),RIGHT(dados_01!E351,2))</f>
        <v>******</v>
      </c>
      <c r="F351" s="3">
        <f>dados_01!F351</f>
        <v>0</v>
      </c>
      <c r="G351" s="3">
        <f>dados_01!G351</f>
        <v>0</v>
      </c>
      <c r="H351" s="3">
        <f>dados_01!H351</f>
        <v>0</v>
      </c>
      <c r="I351" s="3">
        <f>dados_01!I351</f>
        <v>0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 spans="1:26">
      <c r="A352" s="3">
        <f>dados_01!A352</f>
        <v>0</v>
      </c>
      <c r="B352" s="3">
        <f>dados_01!B352</f>
        <v>0</v>
      </c>
      <c r="C352" s="3" t="str">
        <f>IFERROR(__xludf.dummyfunction("JOIN("". "", ARRAYFORMULA(IFERROR(LEFT(SPLIT(dados_01!C352, "" ""), 1))))"),"")</f>
        <v/>
      </c>
      <c r="D352" s="3">
        <f>dados_01!D352</f>
        <v>0</v>
      </c>
      <c r="E352" s="3" t="str">
        <f>CONCATENATE(LEFT(dados_01!E352,3),REPT("*",6),RIGHT(dados_01!E352,2))</f>
        <v>******</v>
      </c>
      <c r="F352" s="3">
        <f>dados_01!F352</f>
        <v>0</v>
      </c>
      <c r="G352" s="3">
        <f>dados_01!G352</f>
        <v>0</v>
      </c>
      <c r="H352" s="3">
        <f>dados_01!H352</f>
        <v>0</v>
      </c>
      <c r="I352" s="3">
        <f>dados_01!I352</f>
        <v>0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 spans="1:26">
      <c r="A353" s="3">
        <f>dados_01!A353</f>
        <v>0</v>
      </c>
      <c r="B353" s="3">
        <f>dados_01!B353</f>
        <v>0</v>
      </c>
      <c r="C353" s="3" t="str">
        <f>IFERROR(__xludf.dummyfunction("JOIN("". "", ARRAYFORMULA(IFERROR(LEFT(SPLIT(dados_01!C353, "" ""), 1))))"),"")</f>
        <v/>
      </c>
      <c r="D353" s="3">
        <f>dados_01!D353</f>
        <v>0</v>
      </c>
      <c r="E353" s="3" t="str">
        <f>CONCATENATE(LEFT(dados_01!E353,3),REPT("*",6),RIGHT(dados_01!E353,2))</f>
        <v>******</v>
      </c>
      <c r="F353" s="3">
        <f>dados_01!F353</f>
        <v>0</v>
      </c>
      <c r="G353" s="3">
        <f>dados_01!G353</f>
        <v>0</v>
      </c>
      <c r="H353" s="3">
        <f>dados_01!H353</f>
        <v>0</v>
      </c>
      <c r="I353" s="3">
        <f>dados_01!I353</f>
        <v>0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 spans="1:26">
      <c r="A354" s="3">
        <f>dados_01!A354</f>
        <v>0</v>
      </c>
      <c r="B354" s="3">
        <f>dados_01!B354</f>
        <v>0</v>
      </c>
      <c r="C354" s="3" t="str">
        <f>IFERROR(__xludf.dummyfunction("JOIN("". "", ARRAYFORMULA(IFERROR(LEFT(SPLIT(dados_01!C354, "" ""), 1))))"),"")</f>
        <v/>
      </c>
      <c r="D354" s="3">
        <f>dados_01!D354</f>
        <v>0</v>
      </c>
      <c r="E354" s="3" t="str">
        <f>CONCATENATE(LEFT(dados_01!E354,3),REPT("*",6),RIGHT(dados_01!E354,2))</f>
        <v>******</v>
      </c>
      <c r="F354" s="3">
        <f>dados_01!F354</f>
        <v>0</v>
      </c>
      <c r="G354" s="3">
        <f>dados_01!G354</f>
        <v>0</v>
      </c>
      <c r="H354" s="3">
        <f>dados_01!H354</f>
        <v>0</v>
      </c>
      <c r="I354" s="3">
        <f>dados_01!I354</f>
        <v>0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 spans="1:26">
      <c r="A355" s="3">
        <f>dados_01!A355</f>
        <v>0</v>
      </c>
      <c r="B355" s="3">
        <f>dados_01!B355</f>
        <v>0</v>
      </c>
      <c r="C355" s="3" t="str">
        <f>IFERROR(__xludf.dummyfunction("JOIN("". "", ARRAYFORMULA(IFERROR(LEFT(SPLIT(dados_01!C355, "" ""), 1))))"),"")</f>
        <v/>
      </c>
      <c r="D355" s="3">
        <f>dados_01!D355</f>
        <v>0</v>
      </c>
      <c r="E355" s="3" t="str">
        <f>CONCATENATE(LEFT(dados_01!E355,3),REPT("*",6),RIGHT(dados_01!E355,2))</f>
        <v>******</v>
      </c>
      <c r="F355" s="3">
        <f>dados_01!F355</f>
        <v>0</v>
      </c>
      <c r="G355" s="3">
        <f>dados_01!G355</f>
        <v>0</v>
      </c>
      <c r="H355" s="3">
        <f>dados_01!H355</f>
        <v>0</v>
      </c>
      <c r="I355" s="3">
        <f>dados_01!I355</f>
        <v>0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 spans="1:26">
      <c r="A356" s="3">
        <f>dados_01!A356</f>
        <v>0</v>
      </c>
      <c r="B356" s="3">
        <f>dados_01!B356</f>
        <v>0</v>
      </c>
      <c r="C356" s="3" t="str">
        <f>IFERROR(__xludf.dummyfunction("JOIN("". "", ARRAYFORMULA(IFERROR(LEFT(SPLIT(dados_01!C356, "" ""), 1))))"),"")</f>
        <v/>
      </c>
      <c r="D356" s="3">
        <f>dados_01!D356</f>
        <v>0</v>
      </c>
      <c r="E356" s="3" t="str">
        <f>CONCATENATE(LEFT(dados_01!E356,3),REPT("*",6),RIGHT(dados_01!E356,2))</f>
        <v>******</v>
      </c>
      <c r="F356" s="3">
        <f>dados_01!F356</f>
        <v>0</v>
      </c>
      <c r="G356" s="3">
        <f>dados_01!G356</f>
        <v>0</v>
      </c>
      <c r="H356" s="3">
        <f>dados_01!H356</f>
        <v>0</v>
      </c>
      <c r="I356" s="3">
        <f>dados_01!I356</f>
        <v>0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 spans="1:26">
      <c r="A357" s="3">
        <f>dados_01!A357</f>
        <v>0</v>
      </c>
      <c r="B357" s="3">
        <f>dados_01!B357</f>
        <v>0</v>
      </c>
      <c r="C357" s="3" t="str">
        <f>IFERROR(__xludf.dummyfunction("JOIN("". "", ARRAYFORMULA(IFERROR(LEFT(SPLIT(dados_01!C357, "" ""), 1))))"),"")</f>
        <v/>
      </c>
      <c r="D357" s="3">
        <f>dados_01!D357</f>
        <v>0</v>
      </c>
      <c r="E357" s="3" t="str">
        <f>CONCATENATE(LEFT(dados_01!E357,3),REPT("*",6),RIGHT(dados_01!E357,2))</f>
        <v>******</v>
      </c>
      <c r="F357" s="3">
        <f>dados_01!F357</f>
        <v>0</v>
      </c>
      <c r="G357" s="3">
        <f>dados_01!G357</f>
        <v>0</v>
      </c>
      <c r="H357" s="3">
        <f>dados_01!H357</f>
        <v>0</v>
      </c>
      <c r="I357" s="3">
        <f>dados_01!I357</f>
        <v>0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 spans="1:26">
      <c r="A358" s="3">
        <f>dados_01!A358</f>
        <v>0</v>
      </c>
      <c r="B358" s="3">
        <f>dados_01!B358</f>
        <v>0</v>
      </c>
      <c r="C358" s="3" t="str">
        <f>IFERROR(__xludf.dummyfunction("JOIN("". "", ARRAYFORMULA(IFERROR(LEFT(SPLIT(dados_01!C358, "" ""), 1))))"),"")</f>
        <v/>
      </c>
      <c r="D358" s="3">
        <f>dados_01!D358</f>
        <v>0</v>
      </c>
      <c r="E358" s="3" t="str">
        <f>CONCATENATE(LEFT(dados_01!E358,3),REPT("*",6),RIGHT(dados_01!E358,2))</f>
        <v>******</v>
      </c>
      <c r="F358" s="3">
        <f>dados_01!F358</f>
        <v>0</v>
      </c>
      <c r="G358" s="3">
        <f>dados_01!G358</f>
        <v>0</v>
      </c>
      <c r="H358" s="3">
        <f>dados_01!H358</f>
        <v>0</v>
      </c>
      <c r="I358" s="3">
        <f>dados_01!I358</f>
        <v>0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 spans="1:26">
      <c r="A359" s="3">
        <f>dados_01!A359</f>
        <v>0</v>
      </c>
      <c r="B359" s="3">
        <f>dados_01!B359</f>
        <v>0</v>
      </c>
      <c r="C359" s="3" t="str">
        <f>IFERROR(__xludf.dummyfunction("JOIN("". "", ARRAYFORMULA(IFERROR(LEFT(SPLIT(dados_01!C359, "" ""), 1))))"),"")</f>
        <v/>
      </c>
      <c r="D359" s="3">
        <f>dados_01!D359</f>
        <v>0</v>
      </c>
      <c r="E359" s="3" t="str">
        <f>CONCATENATE(LEFT(dados_01!E359,3),REPT("*",6),RIGHT(dados_01!E359,2))</f>
        <v>******</v>
      </c>
      <c r="F359" s="3">
        <f>dados_01!F359</f>
        <v>0</v>
      </c>
      <c r="G359" s="3">
        <f>dados_01!G359</f>
        <v>0</v>
      </c>
      <c r="H359" s="3">
        <f>dados_01!H359</f>
        <v>0</v>
      </c>
      <c r="I359" s="3">
        <f>dados_01!I359</f>
        <v>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 spans="1:26">
      <c r="A360" s="3">
        <f>dados_01!A360</f>
        <v>0</v>
      </c>
      <c r="B360" s="3">
        <f>dados_01!B360</f>
        <v>0</v>
      </c>
      <c r="C360" s="3" t="str">
        <f>IFERROR(__xludf.dummyfunction("JOIN("". "", ARRAYFORMULA(IFERROR(LEFT(SPLIT(dados_01!C360, "" ""), 1))))"),"")</f>
        <v/>
      </c>
      <c r="D360" s="3">
        <f>dados_01!D360</f>
        <v>0</v>
      </c>
      <c r="E360" s="3" t="str">
        <f>CONCATENATE(LEFT(dados_01!E360,3),REPT("*",6),RIGHT(dados_01!E360,2))</f>
        <v>******</v>
      </c>
      <c r="F360" s="3">
        <f>dados_01!F360</f>
        <v>0</v>
      </c>
      <c r="G360" s="3">
        <f>dados_01!G360</f>
        <v>0</v>
      </c>
      <c r="H360" s="3">
        <f>dados_01!H360</f>
        <v>0</v>
      </c>
      <c r="I360" s="3">
        <f>dados_01!I360</f>
        <v>0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 spans="1:26">
      <c r="A361" s="3">
        <f>dados_01!A361</f>
        <v>0</v>
      </c>
      <c r="B361" s="3">
        <f>dados_01!B361</f>
        <v>0</v>
      </c>
      <c r="C361" s="3" t="str">
        <f>IFERROR(__xludf.dummyfunction("JOIN("". "", ARRAYFORMULA(IFERROR(LEFT(SPLIT(dados_01!C361, "" ""), 1))))"),"")</f>
        <v/>
      </c>
      <c r="D361" s="3">
        <f>dados_01!D361</f>
        <v>0</v>
      </c>
      <c r="E361" s="3" t="str">
        <f>CONCATENATE(LEFT(dados_01!E361,3),REPT("*",6),RIGHT(dados_01!E361,2))</f>
        <v>******</v>
      </c>
      <c r="F361" s="3">
        <f>dados_01!F361</f>
        <v>0</v>
      </c>
      <c r="G361" s="3">
        <f>dados_01!G361</f>
        <v>0</v>
      </c>
      <c r="H361" s="3">
        <f>dados_01!H361</f>
        <v>0</v>
      </c>
      <c r="I361" s="3">
        <f>dados_01!I361</f>
        <v>0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 spans="1:26">
      <c r="A362" s="3">
        <f>dados_01!A362</f>
        <v>0</v>
      </c>
      <c r="B362" s="3">
        <f>dados_01!B362</f>
        <v>0</v>
      </c>
      <c r="C362" s="3" t="str">
        <f>IFERROR(__xludf.dummyfunction("JOIN("". "", ARRAYFORMULA(IFERROR(LEFT(SPLIT(dados_01!C362, "" ""), 1))))"),"")</f>
        <v/>
      </c>
      <c r="D362" s="3">
        <f>dados_01!D362</f>
        <v>0</v>
      </c>
      <c r="E362" s="3" t="str">
        <f>CONCATENATE(LEFT(dados_01!E362,3),REPT("*",6),RIGHT(dados_01!E362,2))</f>
        <v>******</v>
      </c>
      <c r="F362" s="3">
        <f>dados_01!F362</f>
        <v>0</v>
      </c>
      <c r="G362" s="3">
        <f>dados_01!G362</f>
        <v>0</v>
      </c>
      <c r="H362" s="3">
        <f>dados_01!H362</f>
        <v>0</v>
      </c>
      <c r="I362" s="3">
        <f>dados_01!I362</f>
        <v>0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 spans="1:26">
      <c r="A363" s="3">
        <f>dados_01!A363</f>
        <v>0</v>
      </c>
      <c r="B363" s="3">
        <f>dados_01!B363</f>
        <v>0</v>
      </c>
      <c r="C363" s="3" t="str">
        <f>IFERROR(__xludf.dummyfunction("JOIN("". "", ARRAYFORMULA(IFERROR(LEFT(SPLIT(dados_01!C363, "" ""), 1))))"),"")</f>
        <v/>
      </c>
      <c r="D363" s="3">
        <f>dados_01!D363</f>
        <v>0</v>
      </c>
      <c r="E363" s="3" t="str">
        <f>CONCATENATE(LEFT(dados_01!E363,3),REPT("*",6),RIGHT(dados_01!E363,2))</f>
        <v>******</v>
      </c>
      <c r="F363" s="3">
        <f>dados_01!F363</f>
        <v>0</v>
      </c>
      <c r="G363" s="3">
        <f>dados_01!G363</f>
        <v>0</v>
      </c>
      <c r="H363" s="3">
        <f>dados_01!H363</f>
        <v>0</v>
      </c>
      <c r="I363" s="3">
        <f>dados_01!I363</f>
        <v>0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 spans="1:26">
      <c r="A364" s="3">
        <f>dados_01!A364</f>
        <v>0</v>
      </c>
      <c r="B364" s="3">
        <f>dados_01!B364</f>
        <v>0</v>
      </c>
      <c r="C364" s="3" t="str">
        <f>IFERROR(__xludf.dummyfunction("JOIN("". "", ARRAYFORMULA(IFERROR(LEFT(SPLIT(dados_01!C364, "" ""), 1))))"),"")</f>
        <v/>
      </c>
      <c r="D364" s="3">
        <f>dados_01!D364</f>
        <v>0</v>
      </c>
      <c r="E364" s="3" t="str">
        <f>CONCATENATE(LEFT(dados_01!E364,3),REPT("*",6),RIGHT(dados_01!E364,2))</f>
        <v>******</v>
      </c>
      <c r="F364" s="3">
        <f>dados_01!F364</f>
        <v>0</v>
      </c>
      <c r="G364" s="3">
        <f>dados_01!G364</f>
        <v>0</v>
      </c>
      <c r="H364" s="3">
        <f>dados_01!H364</f>
        <v>0</v>
      </c>
      <c r="I364" s="3">
        <f>dados_01!I364</f>
        <v>0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 spans="1:26">
      <c r="A365" s="3">
        <f>dados_01!A365</f>
        <v>0</v>
      </c>
      <c r="B365" s="3">
        <f>dados_01!B365</f>
        <v>0</v>
      </c>
      <c r="C365" s="3" t="str">
        <f>IFERROR(__xludf.dummyfunction("JOIN("". "", ARRAYFORMULA(IFERROR(LEFT(SPLIT(dados_01!C365, "" ""), 1))))"),"")</f>
        <v/>
      </c>
      <c r="D365" s="3">
        <f>dados_01!D365</f>
        <v>0</v>
      </c>
      <c r="E365" s="3" t="str">
        <f>CONCATENATE(LEFT(dados_01!E365,3),REPT("*",6),RIGHT(dados_01!E365,2))</f>
        <v>******</v>
      </c>
      <c r="F365" s="3">
        <f>dados_01!F365</f>
        <v>0</v>
      </c>
      <c r="G365" s="3">
        <f>dados_01!G365</f>
        <v>0</v>
      </c>
      <c r="H365" s="3">
        <f>dados_01!H365</f>
        <v>0</v>
      </c>
      <c r="I365" s="3">
        <f>dados_01!I365</f>
        <v>0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 spans="1:26">
      <c r="A366" s="3">
        <f>dados_01!A366</f>
        <v>0</v>
      </c>
      <c r="B366" s="3">
        <f>dados_01!B366</f>
        <v>0</v>
      </c>
      <c r="C366" s="3" t="str">
        <f>IFERROR(__xludf.dummyfunction("JOIN("". "", ARRAYFORMULA(IFERROR(LEFT(SPLIT(dados_01!C366, "" ""), 1))))"),"")</f>
        <v/>
      </c>
      <c r="D366" s="3">
        <f>dados_01!D366</f>
        <v>0</v>
      </c>
      <c r="E366" s="3" t="str">
        <f>CONCATENATE(LEFT(dados_01!E366,3),REPT("*",6),RIGHT(dados_01!E366,2))</f>
        <v>******</v>
      </c>
      <c r="F366" s="3">
        <f>dados_01!F366</f>
        <v>0</v>
      </c>
      <c r="G366" s="3">
        <f>dados_01!G366</f>
        <v>0</v>
      </c>
      <c r="H366" s="3">
        <f>dados_01!H366</f>
        <v>0</v>
      </c>
      <c r="I366" s="3">
        <f>dados_01!I366</f>
        <v>0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 spans="1:26">
      <c r="A367" s="3">
        <f>dados_01!A367</f>
        <v>0</v>
      </c>
      <c r="B367" s="3">
        <f>dados_01!B367</f>
        <v>0</v>
      </c>
      <c r="C367" s="3" t="str">
        <f>IFERROR(__xludf.dummyfunction("JOIN("". "", ARRAYFORMULA(IFERROR(LEFT(SPLIT(dados_01!C367, "" ""), 1))))"),"")</f>
        <v/>
      </c>
      <c r="D367" s="3">
        <f>dados_01!D367</f>
        <v>0</v>
      </c>
      <c r="E367" s="3" t="str">
        <f>CONCATENATE(LEFT(dados_01!E367,3),REPT("*",6),RIGHT(dados_01!E367,2))</f>
        <v>******</v>
      </c>
      <c r="F367" s="3">
        <f>dados_01!F367</f>
        <v>0</v>
      </c>
      <c r="G367" s="3">
        <f>dados_01!G367</f>
        <v>0</v>
      </c>
      <c r="H367" s="3">
        <f>dados_01!H367</f>
        <v>0</v>
      </c>
      <c r="I367" s="3">
        <f>dados_01!I367</f>
        <v>0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 spans="1:26">
      <c r="A368" s="3">
        <f>dados_01!A368</f>
        <v>0</v>
      </c>
      <c r="B368" s="3">
        <f>dados_01!B368</f>
        <v>0</v>
      </c>
      <c r="C368" s="3" t="str">
        <f>IFERROR(__xludf.dummyfunction("JOIN("". "", ARRAYFORMULA(IFERROR(LEFT(SPLIT(dados_01!C368, "" ""), 1))))"),"")</f>
        <v/>
      </c>
      <c r="D368" s="3">
        <f>dados_01!D368</f>
        <v>0</v>
      </c>
      <c r="E368" s="3" t="str">
        <f>CONCATENATE(LEFT(dados_01!E368,3),REPT("*",6),RIGHT(dados_01!E368,2))</f>
        <v>******</v>
      </c>
      <c r="F368" s="3">
        <f>dados_01!F368</f>
        <v>0</v>
      </c>
      <c r="G368" s="3">
        <f>dados_01!G368</f>
        <v>0</v>
      </c>
      <c r="H368" s="3">
        <f>dados_01!H368</f>
        <v>0</v>
      </c>
      <c r="I368" s="3">
        <f>dados_01!I368</f>
        <v>0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 spans="1:26">
      <c r="A369" s="3">
        <f>dados_01!A369</f>
        <v>0</v>
      </c>
      <c r="B369" s="3">
        <f>dados_01!B369</f>
        <v>0</v>
      </c>
      <c r="C369" s="3" t="str">
        <f>IFERROR(__xludf.dummyfunction("JOIN("". "", ARRAYFORMULA(IFERROR(LEFT(SPLIT(dados_01!C369, "" ""), 1))))"),"")</f>
        <v/>
      </c>
      <c r="D369" s="3">
        <f>dados_01!D369</f>
        <v>0</v>
      </c>
      <c r="E369" s="3" t="str">
        <f>CONCATENATE(LEFT(dados_01!E369,3),REPT("*",6),RIGHT(dados_01!E369,2))</f>
        <v>******</v>
      </c>
      <c r="F369" s="3">
        <f>dados_01!F369</f>
        <v>0</v>
      </c>
      <c r="G369" s="3">
        <f>dados_01!G369</f>
        <v>0</v>
      </c>
      <c r="H369" s="3">
        <f>dados_01!H369</f>
        <v>0</v>
      </c>
      <c r="I369" s="3">
        <f>dados_01!I369</f>
        <v>0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 spans="1:26">
      <c r="A370" s="3">
        <f>dados_01!A370</f>
        <v>0</v>
      </c>
      <c r="B370" s="3">
        <f>dados_01!B370</f>
        <v>0</v>
      </c>
      <c r="C370" s="3" t="str">
        <f>IFERROR(__xludf.dummyfunction("JOIN("". "", ARRAYFORMULA(IFERROR(LEFT(SPLIT(dados_01!C370, "" ""), 1))))"),"")</f>
        <v/>
      </c>
      <c r="D370" s="3">
        <f>dados_01!D370</f>
        <v>0</v>
      </c>
      <c r="E370" s="3" t="str">
        <f>CONCATENATE(LEFT(dados_01!E370,3),REPT("*",6),RIGHT(dados_01!E370,2))</f>
        <v>******</v>
      </c>
      <c r="F370" s="3">
        <f>dados_01!F370</f>
        <v>0</v>
      </c>
      <c r="G370" s="3">
        <f>dados_01!G370</f>
        <v>0</v>
      </c>
      <c r="H370" s="3">
        <f>dados_01!H370</f>
        <v>0</v>
      </c>
      <c r="I370" s="3">
        <f>dados_01!I370</f>
        <v>0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 spans="1:26">
      <c r="A371" s="3">
        <f>dados_01!A371</f>
        <v>0</v>
      </c>
      <c r="B371" s="3">
        <f>dados_01!B371</f>
        <v>0</v>
      </c>
      <c r="C371" s="3" t="str">
        <f>IFERROR(__xludf.dummyfunction("JOIN("". "", ARRAYFORMULA(IFERROR(LEFT(SPLIT(dados_01!C371, "" ""), 1))))"),"")</f>
        <v/>
      </c>
      <c r="D371" s="3">
        <f>dados_01!D371</f>
        <v>0</v>
      </c>
      <c r="E371" s="3" t="str">
        <f>CONCATENATE(LEFT(dados_01!E371,3),REPT("*",6),RIGHT(dados_01!E371,2))</f>
        <v>******</v>
      </c>
      <c r="F371" s="3">
        <f>dados_01!F371</f>
        <v>0</v>
      </c>
      <c r="G371" s="3">
        <f>dados_01!G371</f>
        <v>0</v>
      </c>
      <c r="H371" s="3">
        <f>dados_01!H371</f>
        <v>0</v>
      </c>
      <c r="I371" s="3">
        <f>dados_01!I371</f>
        <v>0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 spans="1:26">
      <c r="A372" s="3">
        <f>dados_01!A372</f>
        <v>0</v>
      </c>
      <c r="B372" s="3">
        <f>dados_01!B372</f>
        <v>0</v>
      </c>
      <c r="C372" s="3" t="str">
        <f>IFERROR(__xludf.dummyfunction("JOIN("". "", ARRAYFORMULA(IFERROR(LEFT(SPLIT(dados_01!C372, "" ""), 1))))"),"")</f>
        <v/>
      </c>
      <c r="D372" s="3">
        <f>dados_01!D372</f>
        <v>0</v>
      </c>
      <c r="E372" s="3" t="str">
        <f>CONCATENATE(LEFT(dados_01!E372,3),REPT("*",6),RIGHT(dados_01!E372,2))</f>
        <v>******</v>
      </c>
      <c r="F372" s="3">
        <f>dados_01!F372</f>
        <v>0</v>
      </c>
      <c r="G372" s="3">
        <f>dados_01!G372</f>
        <v>0</v>
      </c>
      <c r="H372" s="3">
        <f>dados_01!H372</f>
        <v>0</v>
      </c>
      <c r="I372" s="3">
        <f>dados_01!I372</f>
        <v>0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 spans="1:26">
      <c r="A373" s="3">
        <f>dados_01!A373</f>
        <v>0</v>
      </c>
      <c r="B373" s="3">
        <f>dados_01!B373</f>
        <v>0</v>
      </c>
      <c r="C373" s="3" t="str">
        <f>IFERROR(__xludf.dummyfunction("JOIN("". "", ARRAYFORMULA(IFERROR(LEFT(SPLIT(dados_01!C373, "" ""), 1))))"),"")</f>
        <v/>
      </c>
      <c r="D373" s="3">
        <f>dados_01!D373</f>
        <v>0</v>
      </c>
      <c r="E373" s="3" t="str">
        <f>CONCATENATE(LEFT(dados_01!E373,3),REPT("*",6),RIGHT(dados_01!E373,2))</f>
        <v>******</v>
      </c>
      <c r="F373" s="3">
        <f>dados_01!F373</f>
        <v>0</v>
      </c>
      <c r="G373" s="3">
        <f>dados_01!G373</f>
        <v>0</v>
      </c>
      <c r="H373" s="3">
        <f>dados_01!H373</f>
        <v>0</v>
      </c>
      <c r="I373" s="3">
        <f>dados_01!I373</f>
        <v>0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 spans="1:26">
      <c r="A374" s="3">
        <f>dados_01!A374</f>
        <v>0</v>
      </c>
      <c r="B374" s="3">
        <f>dados_01!B374</f>
        <v>0</v>
      </c>
      <c r="C374" s="3" t="str">
        <f>IFERROR(__xludf.dummyfunction("JOIN("". "", ARRAYFORMULA(IFERROR(LEFT(SPLIT(dados_01!C374, "" ""), 1))))"),"")</f>
        <v/>
      </c>
      <c r="D374" s="3">
        <f>dados_01!D374</f>
        <v>0</v>
      </c>
      <c r="E374" s="3" t="str">
        <f>CONCATENATE(LEFT(dados_01!E374,3),REPT("*",6),RIGHT(dados_01!E374,2))</f>
        <v>******</v>
      </c>
      <c r="F374" s="3">
        <f>dados_01!F374</f>
        <v>0</v>
      </c>
      <c r="G374" s="3">
        <f>dados_01!G374</f>
        <v>0</v>
      </c>
      <c r="H374" s="3">
        <f>dados_01!H374</f>
        <v>0</v>
      </c>
      <c r="I374" s="3">
        <f>dados_01!I374</f>
        <v>0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 spans="1:26">
      <c r="A375" s="3">
        <f>dados_01!A375</f>
        <v>0</v>
      </c>
      <c r="B375" s="3">
        <f>dados_01!B375</f>
        <v>0</v>
      </c>
      <c r="C375" s="3" t="str">
        <f>IFERROR(__xludf.dummyfunction("JOIN("". "", ARRAYFORMULA(IFERROR(LEFT(SPLIT(dados_01!C375, "" ""), 1))))"),"")</f>
        <v/>
      </c>
      <c r="D375" s="3">
        <f>dados_01!D375</f>
        <v>0</v>
      </c>
      <c r="E375" s="3" t="str">
        <f>CONCATENATE(LEFT(dados_01!E375,3),REPT("*",6),RIGHT(dados_01!E375,2))</f>
        <v>******</v>
      </c>
      <c r="F375" s="3">
        <f>dados_01!F375</f>
        <v>0</v>
      </c>
      <c r="G375" s="3">
        <f>dados_01!G375</f>
        <v>0</v>
      </c>
      <c r="H375" s="3">
        <f>dados_01!H375</f>
        <v>0</v>
      </c>
      <c r="I375" s="3">
        <f>dados_01!I375</f>
        <v>0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 spans="1:26">
      <c r="A376" s="3">
        <f>dados_01!A376</f>
        <v>0</v>
      </c>
      <c r="B376" s="3">
        <f>dados_01!B376</f>
        <v>0</v>
      </c>
      <c r="C376" s="3" t="str">
        <f>IFERROR(__xludf.dummyfunction("JOIN("". "", ARRAYFORMULA(IFERROR(LEFT(SPLIT(dados_01!C376, "" ""), 1))))"),"")</f>
        <v/>
      </c>
      <c r="D376" s="3">
        <f>dados_01!D376</f>
        <v>0</v>
      </c>
      <c r="E376" s="3" t="str">
        <f>CONCATENATE(LEFT(dados_01!E376,3),REPT("*",6),RIGHT(dados_01!E376,2))</f>
        <v>******</v>
      </c>
      <c r="F376" s="3">
        <f>dados_01!F376</f>
        <v>0</v>
      </c>
      <c r="G376" s="3">
        <f>dados_01!G376</f>
        <v>0</v>
      </c>
      <c r="H376" s="3">
        <f>dados_01!H376</f>
        <v>0</v>
      </c>
      <c r="I376" s="3">
        <f>dados_01!I376</f>
        <v>0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 spans="1:26">
      <c r="A377" s="3">
        <f>dados_01!A377</f>
        <v>0</v>
      </c>
      <c r="B377" s="3">
        <f>dados_01!B377</f>
        <v>0</v>
      </c>
      <c r="C377" s="3" t="str">
        <f>IFERROR(__xludf.dummyfunction("JOIN("". "", ARRAYFORMULA(IFERROR(LEFT(SPLIT(dados_01!C377, "" ""), 1))))"),"")</f>
        <v/>
      </c>
      <c r="D377" s="3">
        <f>dados_01!D377</f>
        <v>0</v>
      </c>
      <c r="E377" s="3" t="str">
        <f>CONCATENATE(LEFT(dados_01!E377,3),REPT("*",6),RIGHT(dados_01!E377,2))</f>
        <v>******</v>
      </c>
      <c r="F377" s="3">
        <f>dados_01!F377</f>
        <v>0</v>
      </c>
      <c r="G377" s="3">
        <f>dados_01!G377</f>
        <v>0</v>
      </c>
      <c r="H377" s="3">
        <f>dados_01!H377</f>
        <v>0</v>
      </c>
      <c r="I377" s="3">
        <f>dados_01!I377</f>
        <v>0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 spans="1:26">
      <c r="A378" s="3">
        <f>dados_01!A378</f>
        <v>0</v>
      </c>
      <c r="B378" s="3">
        <f>dados_01!B378</f>
        <v>0</v>
      </c>
      <c r="C378" s="3" t="str">
        <f>IFERROR(__xludf.dummyfunction("JOIN("". "", ARRAYFORMULA(IFERROR(LEFT(SPLIT(dados_01!C378, "" ""), 1))))"),"")</f>
        <v/>
      </c>
      <c r="D378" s="3">
        <f>dados_01!D378</f>
        <v>0</v>
      </c>
      <c r="E378" s="3" t="str">
        <f>CONCATENATE(LEFT(dados_01!E378,3),REPT("*",6),RIGHT(dados_01!E378,2))</f>
        <v>******</v>
      </c>
      <c r="F378" s="3">
        <f>dados_01!F378</f>
        <v>0</v>
      </c>
      <c r="G378" s="3">
        <f>dados_01!G378</f>
        <v>0</v>
      </c>
      <c r="H378" s="3">
        <f>dados_01!H378</f>
        <v>0</v>
      </c>
      <c r="I378" s="3">
        <f>dados_01!I378</f>
        <v>0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 spans="1:26">
      <c r="A379" s="3">
        <f>dados_01!A379</f>
        <v>0</v>
      </c>
      <c r="B379" s="3">
        <f>dados_01!B379</f>
        <v>0</v>
      </c>
      <c r="C379" s="3" t="str">
        <f>IFERROR(__xludf.dummyfunction("JOIN("". "", ARRAYFORMULA(IFERROR(LEFT(SPLIT(dados_01!C379, "" ""), 1))))"),"")</f>
        <v/>
      </c>
      <c r="D379" s="3">
        <f>dados_01!D379</f>
        <v>0</v>
      </c>
      <c r="E379" s="3" t="str">
        <f>CONCATENATE(LEFT(dados_01!E379,3),REPT("*",6),RIGHT(dados_01!E379,2))</f>
        <v>******</v>
      </c>
      <c r="F379" s="3">
        <f>dados_01!F379</f>
        <v>0</v>
      </c>
      <c r="G379" s="3">
        <f>dados_01!G379</f>
        <v>0</v>
      </c>
      <c r="H379" s="3">
        <f>dados_01!H379</f>
        <v>0</v>
      </c>
      <c r="I379" s="3">
        <f>dados_01!I379</f>
        <v>0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 spans="1:26">
      <c r="A380" s="3">
        <f>dados_01!A380</f>
        <v>0</v>
      </c>
      <c r="B380" s="3">
        <f>dados_01!B380</f>
        <v>0</v>
      </c>
      <c r="C380" s="3" t="str">
        <f>IFERROR(__xludf.dummyfunction("JOIN("". "", ARRAYFORMULA(IFERROR(LEFT(SPLIT(dados_01!C380, "" ""), 1))))"),"")</f>
        <v/>
      </c>
      <c r="D380" s="3">
        <f>dados_01!D380</f>
        <v>0</v>
      </c>
      <c r="E380" s="3" t="str">
        <f>CONCATENATE(LEFT(dados_01!E380,3),REPT("*",6),RIGHT(dados_01!E380,2))</f>
        <v>******</v>
      </c>
      <c r="F380" s="3">
        <f>dados_01!F380</f>
        <v>0</v>
      </c>
      <c r="G380" s="3">
        <f>dados_01!G380</f>
        <v>0</v>
      </c>
      <c r="H380" s="3">
        <f>dados_01!H380</f>
        <v>0</v>
      </c>
      <c r="I380" s="3">
        <f>dados_01!I380</f>
        <v>0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 spans="1:26">
      <c r="A381" s="3">
        <f>dados_01!A381</f>
        <v>0</v>
      </c>
      <c r="B381" s="3">
        <f>dados_01!B381</f>
        <v>0</v>
      </c>
      <c r="C381" s="3" t="str">
        <f>IFERROR(__xludf.dummyfunction("JOIN("". "", ARRAYFORMULA(IFERROR(LEFT(SPLIT(dados_01!C381, "" ""), 1))))"),"")</f>
        <v/>
      </c>
      <c r="D381" s="3">
        <f>dados_01!D381</f>
        <v>0</v>
      </c>
      <c r="E381" s="3" t="str">
        <f>CONCATENATE(LEFT(dados_01!E381,3),REPT("*",6),RIGHT(dados_01!E381,2))</f>
        <v>******</v>
      </c>
      <c r="F381" s="3">
        <f>dados_01!F381</f>
        <v>0</v>
      </c>
      <c r="G381" s="3">
        <f>dados_01!G381</f>
        <v>0</v>
      </c>
      <c r="H381" s="3">
        <f>dados_01!H381</f>
        <v>0</v>
      </c>
      <c r="I381" s="3">
        <f>dados_01!I381</f>
        <v>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 spans="1:26">
      <c r="A382" s="3">
        <f>dados_01!A382</f>
        <v>0</v>
      </c>
      <c r="B382" s="3">
        <f>dados_01!B382</f>
        <v>0</v>
      </c>
      <c r="C382" s="3" t="str">
        <f>IFERROR(__xludf.dummyfunction("JOIN("". "", ARRAYFORMULA(IFERROR(LEFT(SPLIT(dados_01!C382, "" ""), 1))))"),"")</f>
        <v/>
      </c>
      <c r="D382" s="3">
        <f>dados_01!D382</f>
        <v>0</v>
      </c>
      <c r="E382" s="3" t="str">
        <f>CONCATENATE(LEFT(dados_01!E382,3),REPT("*",6),RIGHT(dados_01!E382,2))</f>
        <v>******</v>
      </c>
      <c r="F382" s="3">
        <f>dados_01!F382</f>
        <v>0</v>
      </c>
      <c r="G382" s="3">
        <f>dados_01!G382</f>
        <v>0</v>
      </c>
      <c r="H382" s="3">
        <f>dados_01!H382</f>
        <v>0</v>
      </c>
      <c r="I382" s="3">
        <f>dados_01!I382</f>
        <v>0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 spans="1:26">
      <c r="A383" s="3">
        <f>dados_01!A383</f>
        <v>0</v>
      </c>
      <c r="B383" s="3">
        <f>dados_01!B383</f>
        <v>0</v>
      </c>
      <c r="C383" s="3" t="str">
        <f>IFERROR(__xludf.dummyfunction("JOIN("". "", ARRAYFORMULA(IFERROR(LEFT(SPLIT(dados_01!C383, "" ""), 1))))"),"")</f>
        <v/>
      </c>
      <c r="D383" s="3">
        <f>dados_01!D383</f>
        <v>0</v>
      </c>
      <c r="E383" s="3" t="str">
        <f>CONCATENATE(LEFT(dados_01!E383,3),REPT("*",6),RIGHT(dados_01!E383,2))</f>
        <v>******</v>
      </c>
      <c r="F383" s="3">
        <f>dados_01!F383</f>
        <v>0</v>
      </c>
      <c r="G383" s="3">
        <f>dados_01!G383</f>
        <v>0</v>
      </c>
      <c r="H383" s="3">
        <f>dados_01!H383</f>
        <v>0</v>
      </c>
      <c r="I383" s="3">
        <f>dados_01!I383</f>
        <v>0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 spans="1:26">
      <c r="A384" s="3">
        <f>dados_01!A384</f>
        <v>0</v>
      </c>
      <c r="B384" s="3">
        <f>dados_01!B384</f>
        <v>0</v>
      </c>
      <c r="C384" s="3" t="str">
        <f>IFERROR(__xludf.dummyfunction("JOIN("". "", ARRAYFORMULA(IFERROR(LEFT(SPLIT(dados_01!C384, "" ""), 1))))"),"")</f>
        <v/>
      </c>
      <c r="D384" s="3">
        <f>dados_01!D384</f>
        <v>0</v>
      </c>
      <c r="E384" s="3" t="str">
        <f>CONCATENATE(LEFT(dados_01!E384,3),REPT("*",6),RIGHT(dados_01!E384,2))</f>
        <v>******</v>
      </c>
      <c r="F384" s="3">
        <f>dados_01!F384</f>
        <v>0</v>
      </c>
      <c r="G384" s="3">
        <f>dados_01!G384</f>
        <v>0</v>
      </c>
      <c r="H384" s="3">
        <f>dados_01!H384</f>
        <v>0</v>
      </c>
      <c r="I384" s="3">
        <f>dados_01!I384</f>
        <v>0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 spans="1:26">
      <c r="A385" s="3">
        <f>dados_01!A385</f>
        <v>0</v>
      </c>
      <c r="B385" s="3">
        <f>dados_01!B385</f>
        <v>0</v>
      </c>
      <c r="C385" s="3" t="str">
        <f>IFERROR(__xludf.dummyfunction("JOIN("". "", ARRAYFORMULA(IFERROR(LEFT(SPLIT(dados_01!C385, "" ""), 1))))"),"")</f>
        <v/>
      </c>
      <c r="D385" s="3">
        <f>dados_01!D385</f>
        <v>0</v>
      </c>
      <c r="E385" s="3" t="str">
        <f>CONCATENATE(LEFT(dados_01!E385,3),REPT("*",6),RIGHT(dados_01!E385,2))</f>
        <v>******</v>
      </c>
      <c r="F385" s="3">
        <f>dados_01!F385</f>
        <v>0</v>
      </c>
      <c r="G385" s="3">
        <f>dados_01!G385</f>
        <v>0</v>
      </c>
      <c r="H385" s="3">
        <f>dados_01!H385</f>
        <v>0</v>
      </c>
      <c r="I385" s="3">
        <f>dados_01!I385</f>
        <v>0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 spans="1:26">
      <c r="A386" s="3">
        <f>dados_01!A386</f>
        <v>0</v>
      </c>
      <c r="B386" s="3">
        <f>dados_01!B386</f>
        <v>0</v>
      </c>
      <c r="C386" s="3" t="str">
        <f>IFERROR(__xludf.dummyfunction("JOIN("". "", ARRAYFORMULA(IFERROR(LEFT(SPLIT(dados_01!C386, "" ""), 1))))"),"")</f>
        <v/>
      </c>
      <c r="D386" s="3">
        <f>dados_01!D386</f>
        <v>0</v>
      </c>
      <c r="E386" s="3" t="str">
        <f>CONCATENATE(LEFT(dados_01!E386,3),REPT("*",6),RIGHT(dados_01!E386,2))</f>
        <v>******</v>
      </c>
      <c r="F386" s="3">
        <f>dados_01!F386</f>
        <v>0</v>
      </c>
      <c r="G386" s="3">
        <f>dados_01!G386</f>
        <v>0</v>
      </c>
      <c r="H386" s="3">
        <f>dados_01!H386</f>
        <v>0</v>
      </c>
      <c r="I386" s="3">
        <f>dados_01!I386</f>
        <v>0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 spans="1:26">
      <c r="A387" s="3">
        <f>dados_01!A387</f>
        <v>0</v>
      </c>
      <c r="B387" s="3">
        <f>dados_01!B387</f>
        <v>0</v>
      </c>
      <c r="C387" s="3" t="str">
        <f>IFERROR(__xludf.dummyfunction("JOIN("". "", ARRAYFORMULA(IFERROR(LEFT(SPLIT(dados_01!C387, "" ""), 1))))"),"")</f>
        <v/>
      </c>
      <c r="D387" s="3">
        <f>dados_01!D387</f>
        <v>0</v>
      </c>
      <c r="E387" s="3" t="str">
        <f>CONCATENATE(LEFT(dados_01!E387,3),REPT("*",6),RIGHT(dados_01!E387,2))</f>
        <v>******</v>
      </c>
      <c r="F387" s="3">
        <f>dados_01!F387</f>
        <v>0</v>
      </c>
      <c r="G387" s="3">
        <f>dados_01!G387</f>
        <v>0</v>
      </c>
      <c r="H387" s="3">
        <f>dados_01!H387</f>
        <v>0</v>
      </c>
      <c r="I387" s="3">
        <f>dados_01!I387</f>
        <v>0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 spans="1:26">
      <c r="A388" s="3">
        <f>dados_01!A388</f>
        <v>0</v>
      </c>
      <c r="B388" s="3">
        <f>dados_01!B388</f>
        <v>0</v>
      </c>
      <c r="C388" s="3" t="str">
        <f>IFERROR(__xludf.dummyfunction("JOIN("". "", ARRAYFORMULA(IFERROR(LEFT(SPLIT(dados_01!C388, "" ""), 1))))"),"")</f>
        <v/>
      </c>
      <c r="D388" s="3">
        <f>dados_01!D388</f>
        <v>0</v>
      </c>
      <c r="E388" s="3" t="str">
        <f>CONCATENATE(LEFT(dados_01!E388,3),REPT("*",6),RIGHT(dados_01!E388,2))</f>
        <v>******</v>
      </c>
      <c r="F388" s="3">
        <f>dados_01!F388</f>
        <v>0</v>
      </c>
      <c r="G388" s="3">
        <f>dados_01!G388</f>
        <v>0</v>
      </c>
      <c r="H388" s="3">
        <f>dados_01!H388</f>
        <v>0</v>
      </c>
      <c r="I388" s="3">
        <f>dados_01!I388</f>
        <v>0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 spans="1:26">
      <c r="A389" s="3">
        <f>dados_01!A389</f>
        <v>0</v>
      </c>
      <c r="B389" s="3">
        <f>dados_01!B389</f>
        <v>0</v>
      </c>
      <c r="C389" s="3" t="str">
        <f>IFERROR(__xludf.dummyfunction("JOIN("". "", ARRAYFORMULA(IFERROR(LEFT(SPLIT(dados_01!C389, "" ""), 1))))"),"")</f>
        <v/>
      </c>
      <c r="D389" s="3">
        <f>dados_01!D389</f>
        <v>0</v>
      </c>
      <c r="E389" s="3" t="str">
        <f>CONCATENATE(LEFT(dados_01!E389,3),REPT("*",6),RIGHT(dados_01!E389,2))</f>
        <v>******</v>
      </c>
      <c r="F389" s="3">
        <f>dados_01!F389</f>
        <v>0</v>
      </c>
      <c r="G389" s="3">
        <f>dados_01!G389</f>
        <v>0</v>
      </c>
      <c r="H389" s="3">
        <f>dados_01!H389</f>
        <v>0</v>
      </c>
      <c r="I389" s="3">
        <f>dados_01!I389</f>
        <v>0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 spans="1:26">
      <c r="A390" s="3">
        <f>dados_01!A390</f>
        <v>0</v>
      </c>
      <c r="B390" s="3">
        <f>dados_01!B390</f>
        <v>0</v>
      </c>
      <c r="C390" s="3" t="str">
        <f>IFERROR(__xludf.dummyfunction("JOIN("". "", ARRAYFORMULA(IFERROR(LEFT(SPLIT(dados_01!C390, "" ""), 1))))"),"")</f>
        <v/>
      </c>
      <c r="D390" s="3">
        <f>dados_01!D390</f>
        <v>0</v>
      </c>
      <c r="E390" s="3" t="str">
        <f>CONCATENATE(LEFT(dados_01!E390,3),REPT("*",6),RIGHT(dados_01!E390,2))</f>
        <v>******</v>
      </c>
      <c r="F390" s="3">
        <f>dados_01!F390</f>
        <v>0</v>
      </c>
      <c r="G390" s="3">
        <f>dados_01!G390</f>
        <v>0</v>
      </c>
      <c r="H390" s="3">
        <f>dados_01!H390</f>
        <v>0</v>
      </c>
      <c r="I390" s="3">
        <f>dados_01!I390</f>
        <v>0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 spans="1:26">
      <c r="A391" s="3">
        <f>dados_01!A391</f>
        <v>0</v>
      </c>
      <c r="B391" s="3">
        <f>dados_01!B391</f>
        <v>0</v>
      </c>
      <c r="C391" s="3" t="str">
        <f>IFERROR(__xludf.dummyfunction("JOIN("". "", ARRAYFORMULA(IFERROR(LEFT(SPLIT(dados_01!C391, "" ""), 1))))"),"")</f>
        <v/>
      </c>
      <c r="D391" s="3">
        <f>dados_01!D391</f>
        <v>0</v>
      </c>
      <c r="E391" s="3" t="str">
        <f>CONCATENATE(LEFT(dados_01!E391,3),REPT("*",6),RIGHT(dados_01!E391,2))</f>
        <v>******</v>
      </c>
      <c r="F391" s="3">
        <f>dados_01!F391</f>
        <v>0</v>
      </c>
      <c r="G391" s="3">
        <f>dados_01!G391</f>
        <v>0</v>
      </c>
      <c r="H391" s="3">
        <f>dados_01!H391</f>
        <v>0</v>
      </c>
      <c r="I391" s="3">
        <f>dados_01!I391</f>
        <v>0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 spans="1:26">
      <c r="A392" s="3">
        <f>dados_01!A392</f>
        <v>0</v>
      </c>
      <c r="B392" s="3">
        <f>dados_01!B392</f>
        <v>0</v>
      </c>
      <c r="C392" s="3" t="str">
        <f>IFERROR(__xludf.dummyfunction("JOIN("". "", ARRAYFORMULA(IFERROR(LEFT(SPLIT(dados_01!C392, "" ""), 1))))"),"")</f>
        <v/>
      </c>
      <c r="D392" s="3">
        <f>dados_01!D392</f>
        <v>0</v>
      </c>
      <c r="E392" s="3" t="str">
        <f>CONCATENATE(LEFT(dados_01!E392,3),REPT("*",6),RIGHT(dados_01!E392,2))</f>
        <v>******</v>
      </c>
      <c r="F392" s="3">
        <f>dados_01!F392</f>
        <v>0</v>
      </c>
      <c r="G392" s="3">
        <f>dados_01!G392</f>
        <v>0</v>
      </c>
      <c r="H392" s="3">
        <f>dados_01!H392</f>
        <v>0</v>
      </c>
      <c r="I392" s="3">
        <f>dados_01!I392</f>
        <v>0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 spans="1:26">
      <c r="A393" s="3">
        <f>dados_01!A393</f>
        <v>0</v>
      </c>
      <c r="B393" s="3">
        <f>dados_01!B393</f>
        <v>0</v>
      </c>
      <c r="C393" s="3" t="str">
        <f>IFERROR(__xludf.dummyfunction("JOIN("". "", ARRAYFORMULA(IFERROR(LEFT(SPLIT(dados_01!C393, "" ""), 1))))"),"")</f>
        <v/>
      </c>
      <c r="D393" s="3">
        <f>dados_01!D393</f>
        <v>0</v>
      </c>
      <c r="E393" s="3" t="str">
        <f>CONCATENATE(LEFT(dados_01!E393,3),REPT("*",6),RIGHT(dados_01!E393,2))</f>
        <v>******</v>
      </c>
      <c r="F393" s="3">
        <f>dados_01!F393</f>
        <v>0</v>
      </c>
      <c r="G393" s="3">
        <f>dados_01!G393</f>
        <v>0</v>
      </c>
      <c r="H393" s="3">
        <f>dados_01!H393</f>
        <v>0</v>
      </c>
      <c r="I393" s="3">
        <f>dados_01!I393</f>
        <v>0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 spans="1:26">
      <c r="A394" s="3">
        <f>dados_01!A394</f>
        <v>0</v>
      </c>
      <c r="B394" s="3">
        <f>dados_01!B394</f>
        <v>0</v>
      </c>
      <c r="C394" s="3" t="str">
        <f>IFERROR(__xludf.dummyfunction("JOIN("". "", ARRAYFORMULA(IFERROR(LEFT(SPLIT(dados_01!C394, "" ""), 1))))"),"")</f>
        <v/>
      </c>
      <c r="D394" s="3">
        <f>dados_01!D394</f>
        <v>0</v>
      </c>
      <c r="E394" s="3" t="str">
        <f>CONCATENATE(LEFT(dados_01!E394,3),REPT("*",6),RIGHT(dados_01!E394,2))</f>
        <v>******</v>
      </c>
      <c r="F394" s="3">
        <f>dados_01!F394</f>
        <v>0</v>
      </c>
      <c r="G394" s="3">
        <f>dados_01!G394</f>
        <v>0</v>
      </c>
      <c r="H394" s="3">
        <f>dados_01!H394</f>
        <v>0</v>
      </c>
      <c r="I394" s="3">
        <f>dados_01!I394</f>
        <v>0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 spans="1:26">
      <c r="A395" s="3">
        <f>dados_01!A395</f>
        <v>0</v>
      </c>
      <c r="B395" s="3">
        <f>dados_01!B395</f>
        <v>0</v>
      </c>
      <c r="C395" s="3" t="str">
        <f>IFERROR(__xludf.dummyfunction("JOIN("". "", ARRAYFORMULA(IFERROR(LEFT(SPLIT(dados_01!C395, "" ""), 1))))"),"")</f>
        <v/>
      </c>
      <c r="D395" s="3">
        <f>dados_01!D395</f>
        <v>0</v>
      </c>
      <c r="E395" s="3" t="str">
        <f>CONCATENATE(LEFT(dados_01!E395,3),REPT("*",6),RIGHT(dados_01!E395,2))</f>
        <v>******</v>
      </c>
      <c r="F395" s="3">
        <f>dados_01!F395</f>
        <v>0</v>
      </c>
      <c r="G395" s="3">
        <f>dados_01!G395</f>
        <v>0</v>
      </c>
      <c r="H395" s="3">
        <f>dados_01!H395</f>
        <v>0</v>
      </c>
      <c r="I395" s="3">
        <f>dados_01!I395</f>
        <v>0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 spans="1:26">
      <c r="A396" s="3">
        <f>dados_01!A396</f>
        <v>0</v>
      </c>
      <c r="B396" s="3">
        <f>dados_01!B396</f>
        <v>0</v>
      </c>
      <c r="C396" s="3" t="str">
        <f>IFERROR(__xludf.dummyfunction("JOIN("". "", ARRAYFORMULA(IFERROR(LEFT(SPLIT(dados_01!C396, "" ""), 1))))"),"")</f>
        <v/>
      </c>
      <c r="D396" s="3">
        <f>dados_01!D396</f>
        <v>0</v>
      </c>
      <c r="E396" s="3" t="str">
        <f>CONCATENATE(LEFT(dados_01!E396,3),REPT("*",6),RIGHT(dados_01!E396,2))</f>
        <v>******</v>
      </c>
      <c r="F396" s="3">
        <f>dados_01!F396</f>
        <v>0</v>
      </c>
      <c r="G396" s="3">
        <f>dados_01!G396</f>
        <v>0</v>
      </c>
      <c r="H396" s="3">
        <f>dados_01!H396</f>
        <v>0</v>
      </c>
      <c r="I396" s="3">
        <f>dados_01!I396</f>
        <v>0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 spans="1:26">
      <c r="A397" s="3">
        <f>dados_01!A397</f>
        <v>0</v>
      </c>
      <c r="B397" s="3">
        <f>dados_01!B397</f>
        <v>0</v>
      </c>
      <c r="C397" s="3" t="str">
        <f>IFERROR(__xludf.dummyfunction("JOIN("". "", ARRAYFORMULA(IFERROR(LEFT(SPLIT(dados_01!C397, "" ""), 1))))"),"")</f>
        <v/>
      </c>
      <c r="D397" s="3">
        <f>dados_01!D397</f>
        <v>0</v>
      </c>
      <c r="E397" s="3" t="str">
        <f>CONCATENATE(LEFT(dados_01!E397,3),REPT("*",6),RIGHT(dados_01!E397,2))</f>
        <v>******</v>
      </c>
      <c r="F397" s="3">
        <f>dados_01!F397</f>
        <v>0</v>
      </c>
      <c r="G397" s="3">
        <f>dados_01!G397</f>
        <v>0</v>
      </c>
      <c r="H397" s="3">
        <f>dados_01!H397</f>
        <v>0</v>
      </c>
      <c r="I397" s="3">
        <f>dados_01!I397</f>
        <v>0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 spans="1:26">
      <c r="A398" s="3">
        <f>dados_01!A398</f>
        <v>0</v>
      </c>
      <c r="B398" s="3">
        <f>dados_01!B398</f>
        <v>0</v>
      </c>
      <c r="C398" s="3" t="str">
        <f>IFERROR(__xludf.dummyfunction("JOIN("". "", ARRAYFORMULA(IFERROR(LEFT(SPLIT(dados_01!C398, "" ""), 1))))"),"")</f>
        <v/>
      </c>
      <c r="D398" s="3">
        <f>dados_01!D398</f>
        <v>0</v>
      </c>
      <c r="E398" s="3" t="str">
        <f>CONCATENATE(LEFT(dados_01!E398,3),REPT("*",6),RIGHT(dados_01!E398,2))</f>
        <v>******</v>
      </c>
      <c r="F398" s="3">
        <f>dados_01!F398</f>
        <v>0</v>
      </c>
      <c r="G398" s="3">
        <f>dados_01!G398</f>
        <v>0</v>
      </c>
      <c r="H398" s="3">
        <f>dados_01!H398</f>
        <v>0</v>
      </c>
      <c r="I398" s="3">
        <f>dados_01!I398</f>
        <v>0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 spans="1:26">
      <c r="A399" s="3">
        <f>dados_01!A399</f>
        <v>0</v>
      </c>
      <c r="B399" s="3">
        <f>dados_01!B399</f>
        <v>0</v>
      </c>
      <c r="C399" s="3" t="str">
        <f>IFERROR(__xludf.dummyfunction("JOIN("". "", ARRAYFORMULA(IFERROR(LEFT(SPLIT(dados_01!C399, "" ""), 1))))"),"")</f>
        <v/>
      </c>
      <c r="D399" s="3">
        <f>dados_01!D399</f>
        <v>0</v>
      </c>
      <c r="E399" s="3" t="str">
        <f>CONCATENATE(LEFT(dados_01!E399,3),REPT("*",6),RIGHT(dados_01!E399,2))</f>
        <v>******</v>
      </c>
      <c r="F399" s="3">
        <f>dados_01!F399</f>
        <v>0</v>
      </c>
      <c r="G399" s="3">
        <f>dados_01!G399</f>
        <v>0</v>
      </c>
      <c r="H399" s="3">
        <f>dados_01!H399</f>
        <v>0</v>
      </c>
      <c r="I399" s="3">
        <f>dados_01!I399</f>
        <v>0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 spans="1:26">
      <c r="A400" s="3">
        <f>dados_01!A400</f>
        <v>0</v>
      </c>
      <c r="B400" s="3">
        <f>dados_01!B400</f>
        <v>0</v>
      </c>
      <c r="C400" s="3" t="str">
        <f>IFERROR(__xludf.dummyfunction("JOIN("". "", ARRAYFORMULA(IFERROR(LEFT(SPLIT(dados_01!C400, "" ""), 1))))"),"")</f>
        <v/>
      </c>
      <c r="D400" s="3">
        <f>dados_01!D400</f>
        <v>0</v>
      </c>
      <c r="E400" s="3" t="str">
        <f>CONCATENATE(LEFT(dados_01!E400,3),REPT("*",6),RIGHT(dados_01!E400,2))</f>
        <v>******</v>
      </c>
      <c r="F400" s="3">
        <f>dados_01!F400</f>
        <v>0</v>
      </c>
      <c r="G400" s="3">
        <f>dados_01!G400</f>
        <v>0</v>
      </c>
      <c r="H400" s="3">
        <f>dados_01!H400</f>
        <v>0</v>
      </c>
      <c r="I400" s="3">
        <f>dados_01!I400</f>
        <v>0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 spans="1:26">
      <c r="A401" s="3">
        <f>dados_01!A401</f>
        <v>0</v>
      </c>
      <c r="B401" s="3">
        <f>dados_01!B401</f>
        <v>0</v>
      </c>
      <c r="C401" s="3" t="str">
        <f>IFERROR(__xludf.dummyfunction("JOIN("". "", ARRAYFORMULA(IFERROR(LEFT(SPLIT(dados_01!C401, "" ""), 1))))"),"")</f>
        <v/>
      </c>
      <c r="D401" s="3">
        <f>dados_01!D401</f>
        <v>0</v>
      </c>
      <c r="E401" s="3" t="str">
        <f>CONCATENATE(LEFT(dados_01!E401,3),REPT("*",6),RIGHT(dados_01!E401,2))</f>
        <v>******</v>
      </c>
      <c r="F401" s="3">
        <f>dados_01!F401</f>
        <v>0</v>
      </c>
      <c r="G401" s="3">
        <f>dados_01!G401</f>
        <v>0</v>
      </c>
      <c r="H401" s="3">
        <f>dados_01!H401</f>
        <v>0</v>
      </c>
      <c r="I401" s="3">
        <f>dados_01!I401</f>
        <v>0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 spans="1:26">
      <c r="A402" s="3">
        <f>dados_01!A402</f>
        <v>0</v>
      </c>
      <c r="B402" s="3">
        <f>dados_01!B402</f>
        <v>0</v>
      </c>
      <c r="C402" s="3" t="str">
        <f>IFERROR(__xludf.dummyfunction("JOIN("". "", ARRAYFORMULA(IFERROR(LEFT(SPLIT(dados_01!C402, "" ""), 1))))"),"")</f>
        <v/>
      </c>
      <c r="D402" s="3">
        <f>dados_01!D402</f>
        <v>0</v>
      </c>
      <c r="E402" s="3" t="str">
        <f>CONCATENATE(LEFT(dados_01!E402,3),REPT("*",6),RIGHT(dados_01!E402,2))</f>
        <v>******</v>
      </c>
      <c r="F402" s="3">
        <f>dados_01!F402</f>
        <v>0</v>
      </c>
      <c r="G402" s="3">
        <f>dados_01!G402</f>
        <v>0</v>
      </c>
      <c r="H402" s="3">
        <f>dados_01!H402</f>
        <v>0</v>
      </c>
      <c r="I402" s="3">
        <f>dados_01!I402</f>
        <v>0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 spans="1:26">
      <c r="A403" s="3">
        <f>dados_01!A403</f>
        <v>0</v>
      </c>
      <c r="B403" s="3">
        <f>dados_01!B403</f>
        <v>0</v>
      </c>
      <c r="C403" s="3" t="str">
        <f>IFERROR(__xludf.dummyfunction("JOIN("". "", ARRAYFORMULA(IFERROR(LEFT(SPLIT(dados_01!C403, "" ""), 1))))"),"")</f>
        <v/>
      </c>
      <c r="D403" s="3">
        <f>dados_01!D403</f>
        <v>0</v>
      </c>
      <c r="E403" s="3" t="str">
        <f>CONCATENATE(LEFT(dados_01!E403,3),REPT("*",6),RIGHT(dados_01!E403,2))</f>
        <v>******</v>
      </c>
      <c r="F403" s="3">
        <f>dados_01!F403</f>
        <v>0</v>
      </c>
      <c r="G403" s="3">
        <f>dados_01!G403</f>
        <v>0</v>
      </c>
      <c r="H403" s="3">
        <f>dados_01!H403</f>
        <v>0</v>
      </c>
      <c r="I403" s="3">
        <f>dados_01!I403</f>
        <v>0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 spans="1:26">
      <c r="A404" s="3">
        <f>dados_01!A404</f>
        <v>0</v>
      </c>
      <c r="B404" s="3">
        <f>dados_01!B404</f>
        <v>0</v>
      </c>
      <c r="C404" s="3" t="str">
        <f>IFERROR(__xludf.dummyfunction("JOIN("". "", ARRAYFORMULA(IFERROR(LEFT(SPLIT(dados_01!C404, "" ""), 1))))"),"")</f>
        <v/>
      </c>
      <c r="D404" s="3">
        <f>dados_01!D404</f>
        <v>0</v>
      </c>
      <c r="E404" s="3" t="str">
        <f>CONCATENATE(LEFT(dados_01!E404,3),REPT("*",6),RIGHT(dados_01!E404,2))</f>
        <v>******</v>
      </c>
      <c r="F404" s="3">
        <f>dados_01!F404</f>
        <v>0</v>
      </c>
      <c r="G404" s="3">
        <f>dados_01!G404</f>
        <v>0</v>
      </c>
      <c r="H404" s="3">
        <f>dados_01!H404</f>
        <v>0</v>
      </c>
      <c r="I404" s="3">
        <f>dados_01!I404</f>
        <v>0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 spans="1:26">
      <c r="A405" s="3">
        <f>dados_01!A405</f>
        <v>0</v>
      </c>
      <c r="B405" s="3">
        <f>dados_01!B405</f>
        <v>0</v>
      </c>
      <c r="C405" s="3" t="str">
        <f>IFERROR(__xludf.dummyfunction("JOIN("". "", ARRAYFORMULA(IFERROR(LEFT(SPLIT(dados_01!C405, "" ""), 1))))"),"")</f>
        <v/>
      </c>
      <c r="D405" s="3">
        <f>dados_01!D405</f>
        <v>0</v>
      </c>
      <c r="E405" s="3" t="str">
        <f>CONCATENATE(LEFT(dados_01!E405,3),REPT("*",6),RIGHT(dados_01!E405,2))</f>
        <v>******</v>
      </c>
      <c r="F405" s="3">
        <f>dados_01!F405</f>
        <v>0</v>
      </c>
      <c r="G405" s="3">
        <f>dados_01!G405</f>
        <v>0</v>
      </c>
      <c r="H405" s="3">
        <f>dados_01!H405</f>
        <v>0</v>
      </c>
      <c r="I405" s="3">
        <f>dados_01!I405</f>
        <v>0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 spans="1:26">
      <c r="A406" s="3">
        <f>dados_01!A406</f>
        <v>0</v>
      </c>
      <c r="B406" s="3">
        <f>dados_01!B406</f>
        <v>0</v>
      </c>
      <c r="C406" s="3" t="str">
        <f>IFERROR(__xludf.dummyfunction("JOIN("". "", ARRAYFORMULA(IFERROR(LEFT(SPLIT(dados_01!C406, "" ""), 1))))"),"")</f>
        <v/>
      </c>
      <c r="D406" s="3">
        <f>dados_01!D406</f>
        <v>0</v>
      </c>
      <c r="E406" s="3" t="str">
        <f>CONCATENATE(LEFT(dados_01!E406,3),REPT("*",6),RIGHT(dados_01!E406,2))</f>
        <v>******</v>
      </c>
      <c r="F406" s="3">
        <f>dados_01!F406</f>
        <v>0</v>
      </c>
      <c r="G406" s="3">
        <f>dados_01!G406</f>
        <v>0</v>
      </c>
      <c r="H406" s="3">
        <f>dados_01!H406</f>
        <v>0</v>
      </c>
      <c r="I406" s="3">
        <f>dados_01!I406</f>
        <v>0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 spans="1:26">
      <c r="A407" s="3">
        <f>dados_01!A407</f>
        <v>0</v>
      </c>
      <c r="B407" s="3">
        <f>dados_01!B407</f>
        <v>0</v>
      </c>
      <c r="C407" s="3" t="str">
        <f>IFERROR(__xludf.dummyfunction("JOIN("". "", ARRAYFORMULA(IFERROR(LEFT(SPLIT(dados_01!C407, "" ""), 1))))"),"")</f>
        <v/>
      </c>
      <c r="D407" s="3">
        <f>dados_01!D407</f>
        <v>0</v>
      </c>
      <c r="E407" s="3" t="str">
        <f>CONCATENATE(LEFT(dados_01!E407,3),REPT("*",6),RIGHT(dados_01!E407,2))</f>
        <v>******</v>
      </c>
      <c r="F407" s="3">
        <f>dados_01!F407</f>
        <v>0</v>
      </c>
      <c r="G407" s="3">
        <f>dados_01!G407</f>
        <v>0</v>
      </c>
      <c r="H407" s="3">
        <f>dados_01!H407</f>
        <v>0</v>
      </c>
      <c r="I407" s="3">
        <f>dados_01!I407</f>
        <v>0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 spans="1:26">
      <c r="A408" s="3">
        <f>dados_01!A408</f>
        <v>0</v>
      </c>
      <c r="B408" s="3">
        <f>dados_01!B408</f>
        <v>0</v>
      </c>
      <c r="C408" s="3" t="str">
        <f>IFERROR(__xludf.dummyfunction("JOIN("". "", ARRAYFORMULA(IFERROR(LEFT(SPLIT(dados_01!C408, "" ""), 1))))"),"")</f>
        <v/>
      </c>
      <c r="D408" s="3">
        <f>dados_01!D408</f>
        <v>0</v>
      </c>
      <c r="E408" s="3" t="str">
        <f>CONCATENATE(LEFT(dados_01!E408,3),REPT("*",6),RIGHT(dados_01!E408,2))</f>
        <v>******</v>
      </c>
      <c r="F408" s="3">
        <f>dados_01!F408</f>
        <v>0</v>
      </c>
      <c r="G408" s="3">
        <f>dados_01!G408</f>
        <v>0</v>
      </c>
      <c r="H408" s="3">
        <f>dados_01!H408</f>
        <v>0</v>
      </c>
      <c r="I408" s="3">
        <f>dados_01!I408</f>
        <v>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 spans="1:26">
      <c r="A409" s="3">
        <f>dados_01!A409</f>
        <v>0</v>
      </c>
      <c r="B409" s="3">
        <f>dados_01!B409</f>
        <v>0</v>
      </c>
      <c r="C409" s="3" t="str">
        <f>IFERROR(__xludf.dummyfunction("JOIN("". "", ARRAYFORMULA(IFERROR(LEFT(SPLIT(dados_01!C409, "" ""), 1))))"),"")</f>
        <v/>
      </c>
      <c r="D409" s="3">
        <f>dados_01!D409</f>
        <v>0</v>
      </c>
      <c r="E409" s="3" t="str">
        <f>CONCATENATE(LEFT(dados_01!E409,3),REPT("*",6),RIGHT(dados_01!E409,2))</f>
        <v>******</v>
      </c>
      <c r="F409" s="3">
        <f>dados_01!F409</f>
        <v>0</v>
      </c>
      <c r="G409" s="3">
        <f>dados_01!G409</f>
        <v>0</v>
      </c>
      <c r="H409" s="3">
        <f>dados_01!H409</f>
        <v>0</v>
      </c>
      <c r="I409" s="3">
        <f>dados_01!I409</f>
        <v>0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 spans="1:26">
      <c r="A410" s="3">
        <f>dados_01!A410</f>
        <v>0</v>
      </c>
      <c r="B410" s="3">
        <f>dados_01!B410</f>
        <v>0</v>
      </c>
      <c r="C410" s="3" t="str">
        <f>IFERROR(__xludf.dummyfunction("JOIN("". "", ARRAYFORMULA(IFERROR(LEFT(SPLIT(dados_01!C410, "" ""), 1))))"),"")</f>
        <v/>
      </c>
      <c r="D410" s="3">
        <f>dados_01!D410</f>
        <v>0</v>
      </c>
      <c r="E410" s="3" t="str">
        <f>CONCATENATE(LEFT(dados_01!E410,3),REPT("*",6),RIGHT(dados_01!E410,2))</f>
        <v>******</v>
      </c>
      <c r="F410" s="3">
        <f>dados_01!F410</f>
        <v>0</v>
      </c>
      <c r="G410" s="3">
        <f>dados_01!G410</f>
        <v>0</v>
      </c>
      <c r="H410" s="3">
        <f>dados_01!H410</f>
        <v>0</v>
      </c>
      <c r="I410" s="3">
        <f>dados_01!I410</f>
        <v>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 spans="1:26">
      <c r="A411" s="3">
        <f>dados_01!A411</f>
        <v>0</v>
      </c>
      <c r="B411" s="3">
        <f>dados_01!B411</f>
        <v>0</v>
      </c>
      <c r="C411" s="3" t="str">
        <f>IFERROR(__xludf.dummyfunction("JOIN("". "", ARRAYFORMULA(IFERROR(LEFT(SPLIT(dados_01!C411, "" ""), 1))))"),"")</f>
        <v/>
      </c>
      <c r="D411" s="3">
        <f>dados_01!D411</f>
        <v>0</v>
      </c>
      <c r="E411" s="3" t="str">
        <f>CONCATENATE(LEFT(dados_01!E411,3),REPT("*",6),RIGHT(dados_01!E411,2))</f>
        <v>******</v>
      </c>
      <c r="F411" s="3">
        <f>dados_01!F411</f>
        <v>0</v>
      </c>
      <c r="G411" s="3">
        <f>dados_01!G411</f>
        <v>0</v>
      </c>
      <c r="H411" s="3">
        <f>dados_01!H411</f>
        <v>0</v>
      </c>
      <c r="I411" s="3">
        <f>dados_01!I411</f>
        <v>0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 spans="1:26">
      <c r="A412" s="3">
        <f>dados_01!A412</f>
        <v>0</v>
      </c>
      <c r="B412" s="3">
        <f>dados_01!B412</f>
        <v>0</v>
      </c>
      <c r="C412" s="3" t="str">
        <f>IFERROR(__xludf.dummyfunction("JOIN("". "", ARRAYFORMULA(IFERROR(LEFT(SPLIT(dados_01!C412, "" ""), 1))))"),"")</f>
        <v/>
      </c>
      <c r="D412" s="3">
        <f>dados_01!D412</f>
        <v>0</v>
      </c>
      <c r="E412" s="3" t="str">
        <f>CONCATENATE(LEFT(dados_01!E412,3),REPT("*",6),RIGHT(dados_01!E412,2))</f>
        <v>******</v>
      </c>
      <c r="F412" s="3">
        <f>dados_01!F412</f>
        <v>0</v>
      </c>
      <c r="G412" s="3">
        <f>dados_01!G412</f>
        <v>0</v>
      </c>
      <c r="H412" s="3">
        <f>dados_01!H412</f>
        <v>0</v>
      </c>
      <c r="I412" s="3">
        <f>dados_01!I412</f>
        <v>0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 spans="1:26">
      <c r="A413" s="3">
        <f>dados_01!A413</f>
        <v>0</v>
      </c>
      <c r="B413" s="3">
        <f>dados_01!B413</f>
        <v>0</v>
      </c>
      <c r="C413" s="3" t="str">
        <f>IFERROR(__xludf.dummyfunction("JOIN("". "", ARRAYFORMULA(IFERROR(LEFT(SPLIT(dados_01!C413, "" ""), 1))))"),"")</f>
        <v/>
      </c>
      <c r="D413" s="3">
        <f>dados_01!D413</f>
        <v>0</v>
      </c>
      <c r="E413" s="3" t="str">
        <f>CONCATENATE(LEFT(dados_01!E413,3),REPT("*",6),RIGHT(dados_01!E413,2))</f>
        <v>******</v>
      </c>
      <c r="F413" s="3">
        <f>dados_01!F413</f>
        <v>0</v>
      </c>
      <c r="G413" s="3">
        <f>dados_01!G413</f>
        <v>0</v>
      </c>
      <c r="H413" s="3">
        <f>dados_01!H413</f>
        <v>0</v>
      </c>
      <c r="I413" s="3">
        <f>dados_01!I413</f>
        <v>0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 spans="1:26">
      <c r="A414" s="3">
        <f>dados_01!A414</f>
        <v>0</v>
      </c>
      <c r="B414" s="3">
        <f>dados_01!B414</f>
        <v>0</v>
      </c>
      <c r="C414" s="3" t="str">
        <f>IFERROR(__xludf.dummyfunction("JOIN("". "", ARRAYFORMULA(IFERROR(LEFT(SPLIT(dados_01!C414, "" ""), 1))))"),"")</f>
        <v/>
      </c>
      <c r="D414" s="3">
        <f>dados_01!D414</f>
        <v>0</v>
      </c>
      <c r="E414" s="3" t="str">
        <f>CONCATENATE(LEFT(dados_01!E414,3),REPT("*",6),RIGHT(dados_01!E414,2))</f>
        <v>******</v>
      </c>
      <c r="F414" s="3">
        <f>dados_01!F414</f>
        <v>0</v>
      </c>
      <c r="G414" s="3">
        <f>dados_01!G414</f>
        <v>0</v>
      </c>
      <c r="H414" s="3">
        <f>dados_01!H414</f>
        <v>0</v>
      </c>
      <c r="I414" s="3">
        <f>dados_01!I414</f>
        <v>0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 spans="1:26">
      <c r="A415" s="3">
        <f>dados_01!A415</f>
        <v>0</v>
      </c>
      <c r="B415" s="3">
        <f>dados_01!B415</f>
        <v>0</v>
      </c>
      <c r="C415" s="3" t="str">
        <f>IFERROR(__xludf.dummyfunction("JOIN("". "", ARRAYFORMULA(IFERROR(LEFT(SPLIT(dados_01!C415, "" ""), 1))))"),"")</f>
        <v/>
      </c>
      <c r="D415" s="3">
        <f>dados_01!D415</f>
        <v>0</v>
      </c>
      <c r="E415" s="3" t="str">
        <f>CONCATENATE(LEFT(dados_01!E415,3),REPT("*",6),RIGHT(dados_01!E415,2))</f>
        <v>******</v>
      </c>
      <c r="F415" s="3">
        <f>dados_01!F415</f>
        <v>0</v>
      </c>
      <c r="G415" s="3">
        <f>dados_01!G415</f>
        <v>0</v>
      </c>
      <c r="H415" s="3">
        <f>dados_01!H415</f>
        <v>0</v>
      </c>
      <c r="I415" s="3">
        <f>dados_01!I415</f>
        <v>0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 spans="1:26">
      <c r="A416" s="3">
        <f>dados_01!A416</f>
        <v>0</v>
      </c>
      <c r="B416" s="3">
        <f>dados_01!B416</f>
        <v>0</v>
      </c>
      <c r="C416" s="3" t="str">
        <f>IFERROR(__xludf.dummyfunction("JOIN("". "", ARRAYFORMULA(IFERROR(LEFT(SPLIT(dados_01!C416, "" ""), 1))))"),"")</f>
        <v/>
      </c>
      <c r="D416" s="3">
        <f>dados_01!D416</f>
        <v>0</v>
      </c>
      <c r="E416" s="3" t="str">
        <f>CONCATENATE(LEFT(dados_01!E416,3),REPT("*",6),RIGHT(dados_01!E416,2))</f>
        <v>******</v>
      </c>
      <c r="F416" s="3">
        <f>dados_01!F416</f>
        <v>0</v>
      </c>
      <c r="G416" s="3">
        <f>dados_01!G416</f>
        <v>0</v>
      </c>
      <c r="H416" s="3">
        <f>dados_01!H416</f>
        <v>0</v>
      </c>
      <c r="I416" s="3">
        <f>dados_01!I416</f>
        <v>0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 spans="1:26">
      <c r="A417" s="3">
        <f>dados_01!A417</f>
        <v>0</v>
      </c>
      <c r="B417" s="3">
        <f>dados_01!B417</f>
        <v>0</v>
      </c>
      <c r="C417" s="3" t="str">
        <f>IFERROR(__xludf.dummyfunction("JOIN("". "", ARRAYFORMULA(IFERROR(LEFT(SPLIT(dados_01!C417, "" ""), 1))))"),"")</f>
        <v/>
      </c>
      <c r="D417" s="3">
        <f>dados_01!D417</f>
        <v>0</v>
      </c>
      <c r="E417" s="3" t="str">
        <f>CONCATENATE(LEFT(dados_01!E417,3),REPT("*",6),RIGHT(dados_01!E417,2))</f>
        <v>******</v>
      </c>
      <c r="F417" s="3">
        <f>dados_01!F417</f>
        <v>0</v>
      </c>
      <c r="G417" s="3">
        <f>dados_01!G417</f>
        <v>0</v>
      </c>
      <c r="H417" s="3">
        <f>dados_01!H417</f>
        <v>0</v>
      </c>
      <c r="I417" s="3">
        <f>dados_01!I417</f>
        <v>0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 spans="1:26">
      <c r="A418" s="3">
        <f>dados_01!A418</f>
        <v>0</v>
      </c>
      <c r="B418" s="3">
        <f>dados_01!B418</f>
        <v>0</v>
      </c>
      <c r="C418" s="3" t="str">
        <f>IFERROR(__xludf.dummyfunction("JOIN("". "", ARRAYFORMULA(IFERROR(LEFT(SPLIT(dados_01!C418, "" ""), 1))))"),"")</f>
        <v/>
      </c>
      <c r="D418" s="3">
        <f>dados_01!D418</f>
        <v>0</v>
      </c>
      <c r="E418" s="3" t="str">
        <f>CONCATENATE(LEFT(dados_01!E418,3),REPT("*",6),RIGHT(dados_01!E418,2))</f>
        <v>******</v>
      </c>
      <c r="F418" s="3">
        <f>dados_01!F418</f>
        <v>0</v>
      </c>
      <c r="G418" s="3">
        <f>dados_01!G418</f>
        <v>0</v>
      </c>
      <c r="H418" s="3">
        <f>dados_01!H418</f>
        <v>0</v>
      </c>
      <c r="I418" s="3">
        <f>dados_01!I418</f>
        <v>0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 spans="1:26">
      <c r="A419" s="3">
        <f>dados_01!A419</f>
        <v>0</v>
      </c>
      <c r="B419" s="3">
        <f>dados_01!B419</f>
        <v>0</v>
      </c>
      <c r="C419" s="3" t="str">
        <f>IFERROR(__xludf.dummyfunction("JOIN("". "", ARRAYFORMULA(IFERROR(LEFT(SPLIT(dados_01!C419, "" ""), 1))))"),"")</f>
        <v/>
      </c>
      <c r="D419" s="3">
        <f>dados_01!D419</f>
        <v>0</v>
      </c>
      <c r="E419" s="3" t="str">
        <f>CONCATENATE(LEFT(dados_01!E419,3),REPT("*",6),RIGHT(dados_01!E419,2))</f>
        <v>******</v>
      </c>
      <c r="F419" s="3">
        <f>dados_01!F419</f>
        <v>0</v>
      </c>
      <c r="G419" s="3">
        <f>dados_01!G419</f>
        <v>0</v>
      </c>
      <c r="H419" s="3">
        <f>dados_01!H419</f>
        <v>0</v>
      </c>
      <c r="I419" s="3">
        <f>dados_01!I419</f>
        <v>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 spans="1:26">
      <c r="A420" s="3">
        <f>dados_01!A420</f>
        <v>0</v>
      </c>
      <c r="B420" s="3">
        <f>dados_01!B420</f>
        <v>0</v>
      </c>
      <c r="C420" s="3" t="str">
        <f>IFERROR(__xludf.dummyfunction("JOIN("". "", ARRAYFORMULA(IFERROR(LEFT(SPLIT(dados_01!C420, "" ""), 1))))"),"")</f>
        <v/>
      </c>
      <c r="D420" s="3">
        <f>dados_01!D420</f>
        <v>0</v>
      </c>
      <c r="E420" s="3" t="str">
        <f>CONCATENATE(LEFT(dados_01!E420,3),REPT("*",6),RIGHT(dados_01!E420,2))</f>
        <v>******</v>
      </c>
      <c r="F420" s="3">
        <f>dados_01!F420</f>
        <v>0</v>
      </c>
      <c r="G420" s="3">
        <f>dados_01!G420</f>
        <v>0</v>
      </c>
      <c r="H420" s="3">
        <f>dados_01!H420</f>
        <v>0</v>
      </c>
      <c r="I420" s="3">
        <f>dados_01!I420</f>
        <v>0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 spans="1:26">
      <c r="A421" s="3">
        <f>dados_01!A421</f>
        <v>0</v>
      </c>
      <c r="B421" s="3">
        <f>dados_01!B421</f>
        <v>0</v>
      </c>
      <c r="C421" s="3" t="str">
        <f>IFERROR(__xludf.dummyfunction("JOIN("". "", ARRAYFORMULA(IFERROR(LEFT(SPLIT(dados_01!C421, "" ""), 1))))"),"")</f>
        <v/>
      </c>
      <c r="D421" s="3">
        <f>dados_01!D421</f>
        <v>0</v>
      </c>
      <c r="E421" s="3" t="str">
        <f>CONCATENATE(LEFT(dados_01!E421,3),REPT("*",6),RIGHT(dados_01!E421,2))</f>
        <v>******</v>
      </c>
      <c r="F421" s="3">
        <f>dados_01!F421</f>
        <v>0</v>
      </c>
      <c r="G421" s="3">
        <f>dados_01!G421</f>
        <v>0</v>
      </c>
      <c r="H421" s="3">
        <f>dados_01!H421</f>
        <v>0</v>
      </c>
      <c r="I421" s="3">
        <f>dados_01!I421</f>
        <v>0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 spans="1:26">
      <c r="A422" s="3">
        <f>dados_01!A422</f>
        <v>0</v>
      </c>
      <c r="B422" s="3">
        <f>dados_01!B422</f>
        <v>0</v>
      </c>
      <c r="C422" s="3" t="str">
        <f>IFERROR(__xludf.dummyfunction("JOIN("". "", ARRAYFORMULA(IFERROR(LEFT(SPLIT(dados_01!C422, "" ""), 1))))"),"")</f>
        <v/>
      </c>
      <c r="D422" s="3">
        <f>dados_01!D422</f>
        <v>0</v>
      </c>
      <c r="E422" s="3" t="str">
        <f>CONCATENATE(LEFT(dados_01!E422,3),REPT("*",6),RIGHT(dados_01!E422,2))</f>
        <v>******</v>
      </c>
      <c r="F422" s="3">
        <f>dados_01!F422</f>
        <v>0</v>
      </c>
      <c r="G422" s="3">
        <f>dados_01!G422</f>
        <v>0</v>
      </c>
      <c r="H422" s="3">
        <f>dados_01!H422</f>
        <v>0</v>
      </c>
      <c r="I422" s="3">
        <f>dados_01!I422</f>
        <v>0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 spans="1:26">
      <c r="A423" s="3">
        <f>dados_01!A423</f>
        <v>0</v>
      </c>
      <c r="B423" s="3">
        <f>dados_01!B423</f>
        <v>0</v>
      </c>
      <c r="C423" s="3" t="str">
        <f>IFERROR(__xludf.dummyfunction("JOIN("". "", ARRAYFORMULA(IFERROR(LEFT(SPLIT(dados_01!C423, "" ""), 1))))"),"")</f>
        <v/>
      </c>
      <c r="D423" s="3">
        <f>dados_01!D423</f>
        <v>0</v>
      </c>
      <c r="E423" s="3" t="str">
        <f>CONCATENATE(LEFT(dados_01!E423,3),REPT("*",6),RIGHT(dados_01!E423,2))</f>
        <v>******</v>
      </c>
      <c r="F423" s="3">
        <f>dados_01!F423</f>
        <v>0</v>
      </c>
      <c r="G423" s="3">
        <f>dados_01!G423</f>
        <v>0</v>
      </c>
      <c r="H423" s="3">
        <f>dados_01!H423</f>
        <v>0</v>
      </c>
      <c r="I423" s="3">
        <f>dados_01!I423</f>
        <v>0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 spans="1:26">
      <c r="A424" s="3">
        <f>dados_01!A424</f>
        <v>0</v>
      </c>
      <c r="B424" s="3">
        <f>dados_01!B424</f>
        <v>0</v>
      </c>
      <c r="C424" s="3" t="str">
        <f>IFERROR(__xludf.dummyfunction("JOIN("". "", ARRAYFORMULA(IFERROR(LEFT(SPLIT(dados_01!C424, "" ""), 1))))"),"")</f>
        <v/>
      </c>
      <c r="D424" s="3">
        <f>dados_01!D424</f>
        <v>0</v>
      </c>
      <c r="E424" s="3" t="str">
        <f>CONCATENATE(LEFT(dados_01!E424,3),REPT("*",6),RIGHT(dados_01!E424,2))</f>
        <v>******</v>
      </c>
      <c r="F424" s="3">
        <f>dados_01!F424</f>
        <v>0</v>
      </c>
      <c r="G424" s="3">
        <f>dados_01!G424</f>
        <v>0</v>
      </c>
      <c r="H424" s="3">
        <f>dados_01!H424</f>
        <v>0</v>
      </c>
      <c r="I424" s="3">
        <f>dados_01!I424</f>
        <v>0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 spans="1:26">
      <c r="A425" s="3">
        <f>dados_01!A425</f>
        <v>0</v>
      </c>
      <c r="B425" s="3">
        <f>dados_01!B425</f>
        <v>0</v>
      </c>
      <c r="C425" s="3" t="str">
        <f>IFERROR(__xludf.dummyfunction("JOIN("". "", ARRAYFORMULA(IFERROR(LEFT(SPLIT(dados_01!C425, "" ""), 1))))"),"")</f>
        <v/>
      </c>
      <c r="D425" s="3">
        <f>dados_01!D425</f>
        <v>0</v>
      </c>
      <c r="E425" s="3" t="str">
        <f>CONCATENATE(LEFT(dados_01!E425,3),REPT("*",6),RIGHT(dados_01!E425,2))</f>
        <v>******</v>
      </c>
      <c r="F425" s="3">
        <f>dados_01!F425</f>
        <v>0</v>
      </c>
      <c r="G425" s="3">
        <f>dados_01!G425</f>
        <v>0</v>
      </c>
      <c r="H425" s="3">
        <f>dados_01!H425</f>
        <v>0</v>
      </c>
      <c r="I425" s="3">
        <f>dados_01!I425</f>
        <v>0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 spans="1:26">
      <c r="A426" s="3">
        <f>dados_01!A426</f>
        <v>0</v>
      </c>
      <c r="B426" s="3">
        <f>dados_01!B426</f>
        <v>0</v>
      </c>
      <c r="C426" s="3" t="str">
        <f>IFERROR(__xludf.dummyfunction("JOIN("". "", ARRAYFORMULA(IFERROR(LEFT(SPLIT(dados_01!C426, "" ""), 1))))"),"")</f>
        <v/>
      </c>
      <c r="D426" s="3">
        <f>dados_01!D426</f>
        <v>0</v>
      </c>
      <c r="E426" s="3" t="str">
        <f>CONCATENATE(LEFT(dados_01!E426,3),REPT("*",6),RIGHT(dados_01!E426,2))</f>
        <v>******</v>
      </c>
      <c r="F426" s="3">
        <f>dados_01!F426</f>
        <v>0</v>
      </c>
      <c r="G426" s="3">
        <f>dados_01!G426</f>
        <v>0</v>
      </c>
      <c r="H426" s="3">
        <f>dados_01!H426</f>
        <v>0</v>
      </c>
      <c r="I426" s="3">
        <f>dados_01!I426</f>
        <v>0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 spans="1:26">
      <c r="A427" s="3">
        <f>dados_01!A427</f>
        <v>0</v>
      </c>
      <c r="B427" s="3">
        <f>dados_01!B427</f>
        <v>0</v>
      </c>
      <c r="C427" s="3" t="str">
        <f>IFERROR(__xludf.dummyfunction("JOIN("". "", ARRAYFORMULA(IFERROR(LEFT(SPLIT(dados_01!C427, "" ""), 1))))"),"")</f>
        <v/>
      </c>
      <c r="D427" s="3">
        <f>dados_01!D427</f>
        <v>0</v>
      </c>
      <c r="E427" s="3" t="str">
        <f>CONCATENATE(LEFT(dados_01!E427,3),REPT("*",6),RIGHT(dados_01!E427,2))</f>
        <v>******</v>
      </c>
      <c r="F427" s="3">
        <f>dados_01!F427</f>
        <v>0</v>
      </c>
      <c r="G427" s="3">
        <f>dados_01!G427</f>
        <v>0</v>
      </c>
      <c r="H427" s="3">
        <f>dados_01!H427</f>
        <v>0</v>
      </c>
      <c r="I427" s="3">
        <f>dados_01!I427</f>
        <v>0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 spans="1:26">
      <c r="A428" s="3">
        <f>dados_01!A428</f>
        <v>0</v>
      </c>
      <c r="B428" s="3">
        <f>dados_01!B428</f>
        <v>0</v>
      </c>
      <c r="C428" s="3" t="str">
        <f>IFERROR(__xludf.dummyfunction("JOIN("". "", ARRAYFORMULA(IFERROR(LEFT(SPLIT(dados_01!C428, "" ""), 1))))"),"")</f>
        <v/>
      </c>
      <c r="D428" s="3">
        <f>dados_01!D428</f>
        <v>0</v>
      </c>
      <c r="E428" s="3" t="str">
        <f>CONCATENATE(LEFT(dados_01!E428,3),REPT("*",6),RIGHT(dados_01!E428,2))</f>
        <v>******</v>
      </c>
      <c r="F428" s="3">
        <f>dados_01!F428</f>
        <v>0</v>
      </c>
      <c r="G428" s="3">
        <f>dados_01!G428</f>
        <v>0</v>
      </c>
      <c r="H428" s="3">
        <f>dados_01!H428</f>
        <v>0</v>
      </c>
      <c r="I428" s="3">
        <f>dados_01!I428</f>
        <v>0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 spans="1:26">
      <c r="A429" s="3">
        <f>dados_01!A429</f>
        <v>0</v>
      </c>
      <c r="B429" s="3">
        <f>dados_01!B429</f>
        <v>0</v>
      </c>
      <c r="C429" s="3" t="str">
        <f>IFERROR(__xludf.dummyfunction("JOIN("". "", ARRAYFORMULA(IFERROR(LEFT(SPLIT(dados_01!C429, "" ""), 1))))"),"")</f>
        <v/>
      </c>
      <c r="D429" s="3">
        <f>dados_01!D429</f>
        <v>0</v>
      </c>
      <c r="E429" s="3" t="str">
        <f>CONCATENATE(LEFT(dados_01!E429,3),REPT("*",6),RIGHT(dados_01!E429,2))</f>
        <v>******</v>
      </c>
      <c r="F429" s="3">
        <f>dados_01!F429</f>
        <v>0</v>
      </c>
      <c r="G429" s="3">
        <f>dados_01!G429</f>
        <v>0</v>
      </c>
      <c r="H429" s="3">
        <f>dados_01!H429</f>
        <v>0</v>
      </c>
      <c r="I429" s="3">
        <f>dados_01!I429</f>
        <v>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 spans="1:26">
      <c r="A430" s="3">
        <f>dados_01!A430</f>
        <v>0</v>
      </c>
      <c r="B430" s="3">
        <f>dados_01!B430</f>
        <v>0</v>
      </c>
      <c r="C430" s="3" t="str">
        <f>IFERROR(__xludf.dummyfunction("JOIN("". "", ARRAYFORMULA(IFERROR(LEFT(SPLIT(dados_01!C430, "" ""), 1))))"),"")</f>
        <v/>
      </c>
      <c r="D430" s="3">
        <f>dados_01!D430</f>
        <v>0</v>
      </c>
      <c r="E430" s="3" t="str">
        <f>CONCATENATE(LEFT(dados_01!E430,3),REPT("*",6),RIGHT(dados_01!E430,2))</f>
        <v>******</v>
      </c>
      <c r="F430" s="3">
        <f>dados_01!F430</f>
        <v>0</v>
      </c>
      <c r="G430" s="3">
        <f>dados_01!G430</f>
        <v>0</v>
      </c>
      <c r="H430" s="3">
        <f>dados_01!H430</f>
        <v>0</v>
      </c>
      <c r="I430" s="3">
        <f>dados_01!I430</f>
        <v>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 spans="1:26">
      <c r="A431" s="3">
        <f>dados_01!A431</f>
        <v>0</v>
      </c>
      <c r="B431" s="3">
        <f>dados_01!B431</f>
        <v>0</v>
      </c>
      <c r="C431" s="3" t="str">
        <f>IFERROR(__xludf.dummyfunction("JOIN("". "", ARRAYFORMULA(IFERROR(LEFT(SPLIT(dados_01!C431, "" ""), 1))))"),"")</f>
        <v/>
      </c>
      <c r="D431" s="3">
        <f>dados_01!D431</f>
        <v>0</v>
      </c>
      <c r="E431" s="3" t="str">
        <f>CONCATENATE(LEFT(dados_01!E431,3),REPT("*",6),RIGHT(dados_01!E431,2))</f>
        <v>******</v>
      </c>
      <c r="F431" s="3">
        <f>dados_01!F431</f>
        <v>0</v>
      </c>
      <c r="G431" s="3">
        <f>dados_01!G431</f>
        <v>0</v>
      </c>
      <c r="H431" s="3">
        <f>dados_01!H431</f>
        <v>0</v>
      </c>
      <c r="I431" s="3">
        <f>dados_01!I431</f>
        <v>0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 spans="1:26">
      <c r="A432" s="3">
        <f>dados_01!A432</f>
        <v>0</v>
      </c>
      <c r="B432" s="3">
        <f>dados_01!B432</f>
        <v>0</v>
      </c>
      <c r="C432" s="3" t="str">
        <f>IFERROR(__xludf.dummyfunction("JOIN("". "", ARRAYFORMULA(IFERROR(LEFT(SPLIT(dados_01!C432, "" ""), 1))))"),"")</f>
        <v/>
      </c>
      <c r="D432" s="3">
        <f>dados_01!D432</f>
        <v>0</v>
      </c>
      <c r="E432" s="3" t="str">
        <f>CONCATENATE(LEFT(dados_01!E432,3),REPT("*",6),RIGHT(dados_01!E432,2))</f>
        <v>******</v>
      </c>
      <c r="F432" s="3">
        <f>dados_01!F432</f>
        <v>0</v>
      </c>
      <c r="G432" s="3">
        <f>dados_01!G432</f>
        <v>0</v>
      </c>
      <c r="H432" s="3">
        <f>dados_01!H432</f>
        <v>0</v>
      </c>
      <c r="I432" s="3">
        <f>dados_01!I432</f>
        <v>0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 spans="1:26">
      <c r="A433" s="3">
        <f>dados_01!A433</f>
        <v>0</v>
      </c>
      <c r="B433" s="3">
        <f>dados_01!B433</f>
        <v>0</v>
      </c>
      <c r="C433" s="3" t="str">
        <f>IFERROR(__xludf.dummyfunction("JOIN("". "", ARRAYFORMULA(IFERROR(LEFT(SPLIT(dados_01!C433, "" ""), 1))))"),"")</f>
        <v/>
      </c>
      <c r="D433" s="3">
        <f>dados_01!D433</f>
        <v>0</v>
      </c>
      <c r="E433" s="3" t="str">
        <f>CONCATENATE(LEFT(dados_01!E433,3),REPT("*",6),RIGHT(dados_01!E433,2))</f>
        <v>******</v>
      </c>
      <c r="F433" s="3">
        <f>dados_01!F433</f>
        <v>0</v>
      </c>
      <c r="G433" s="3">
        <f>dados_01!G433</f>
        <v>0</v>
      </c>
      <c r="H433" s="3">
        <f>dados_01!H433</f>
        <v>0</v>
      </c>
      <c r="I433" s="3">
        <f>dados_01!I433</f>
        <v>0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 spans="1:26">
      <c r="A434" s="3">
        <f>dados_01!A434</f>
        <v>0</v>
      </c>
      <c r="B434" s="3">
        <f>dados_01!B434</f>
        <v>0</v>
      </c>
      <c r="C434" s="3" t="str">
        <f>IFERROR(__xludf.dummyfunction("JOIN("". "", ARRAYFORMULA(IFERROR(LEFT(SPLIT(dados_01!C434, "" ""), 1))))"),"")</f>
        <v/>
      </c>
      <c r="D434" s="3">
        <f>dados_01!D434</f>
        <v>0</v>
      </c>
      <c r="E434" s="3" t="str">
        <f>CONCATENATE(LEFT(dados_01!E434,3),REPT("*",6),RIGHT(dados_01!E434,2))</f>
        <v>******</v>
      </c>
      <c r="F434" s="3">
        <f>dados_01!F434</f>
        <v>0</v>
      </c>
      <c r="G434" s="3">
        <f>dados_01!G434</f>
        <v>0</v>
      </c>
      <c r="H434" s="3">
        <f>dados_01!H434</f>
        <v>0</v>
      </c>
      <c r="I434" s="3">
        <f>dados_01!I434</f>
        <v>0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 spans="1:26">
      <c r="A435" s="3">
        <f>dados_01!A435</f>
        <v>0</v>
      </c>
      <c r="B435" s="3">
        <f>dados_01!B435</f>
        <v>0</v>
      </c>
      <c r="C435" s="3" t="str">
        <f>IFERROR(__xludf.dummyfunction("JOIN("". "", ARRAYFORMULA(IFERROR(LEFT(SPLIT(dados_01!C435, "" ""), 1))))"),"")</f>
        <v/>
      </c>
      <c r="D435" s="3">
        <f>dados_01!D435</f>
        <v>0</v>
      </c>
      <c r="E435" s="3" t="str">
        <f>CONCATENATE(LEFT(dados_01!E435,3),REPT("*",6),RIGHT(dados_01!E435,2))</f>
        <v>******</v>
      </c>
      <c r="F435" s="3">
        <f>dados_01!F435</f>
        <v>0</v>
      </c>
      <c r="G435" s="3">
        <f>dados_01!G435</f>
        <v>0</v>
      </c>
      <c r="H435" s="3">
        <f>dados_01!H435</f>
        <v>0</v>
      </c>
      <c r="I435" s="3">
        <f>dados_01!I435</f>
        <v>0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 spans="1:26">
      <c r="A436" s="3">
        <f>dados_01!A436</f>
        <v>0</v>
      </c>
      <c r="B436" s="3">
        <f>dados_01!B436</f>
        <v>0</v>
      </c>
      <c r="C436" s="3" t="str">
        <f>IFERROR(__xludf.dummyfunction("JOIN("". "", ARRAYFORMULA(IFERROR(LEFT(SPLIT(dados_01!C436, "" ""), 1))))"),"")</f>
        <v/>
      </c>
      <c r="D436" s="3">
        <f>dados_01!D436</f>
        <v>0</v>
      </c>
      <c r="E436" s="3" t="str">
        <f>CONCATENATE(LEFT(dados_01!E436,3),REPT("*",6),RIGHT(dados_01!E436,2))</f>
        <v>******</v>
      </c>
      <c r="F436" s="3">
        <f>dados_01!F436</f>
        <v>0</v>
      </c>
      <c r="G436" s="3">
        <f>dados_01!G436</f>
        <v>0</v>
      </c>
      <c r="H436" s="3">
        <f>dados_01!H436</f>
        <v>0</v>
      </c>
      <c r="I436" s="3">
        <f>dados_01!I436</f>
        <v>0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 spans="1:26">
      <c r="A437" s="3">
        <f>dados_01!A437</f>
        <v>0</v>
      </c>
      <c r="B437" s="3">
        <f>dados_01!B437</f>
        <v>0</v>
      </c>
      <c r="C437" s="3" t="str">
        <f>IFERROR(__xludf.dummyfunction("JOIN("". "", ARRAYFORMULA(IFERROR(LEFT(SPLIT(dados_01!C437, "" ""), 1))))"),"")</f>
        <v/>
      </c>
      <c r="D437" s="3">
        <f>dados_01!D437</f>
        <v>0</v>
      </c>
      <c r="E437" s="3" t="str">
        <f>CONCATENATE(LEFT(dados_01!E437,3),REPT("*",6),RIGHT(dados_01!E437,2))</f>
        <v>******</v>
      </c>
      <c r="F437" s="3">
        <f>dados_01!F437</f>
        <v>0</v>
      </c>
      <c r="G437" s="3">
        <f>dados_01!G437</f>
        <v>0</v>
      </c>
      <c r="H437" s="3">
        <f>dados_01!H437</f>
        <v>0</v>
      </c>
      <c r="I437" s="3">
        <f>dados_01!I437</f>
        <v>0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 spans="1:26">
      <c r="A438" s="3">
        <f>dados_01!A438</f>
        <v>0</v>
      </c>
      <c r="B438" s="3">
        <f>dados_01!B438</f>
        <v>0</v>
      </c>
      <c r="C438" s="3" t="str">
        <f>IFERROR(__xludf.dummyfunction("JOIN("". "", ARRAYFORMULA(IFERROR(LEFT(SPLIT(dados_01!C438, "" ""), 1))))"),"")</f>
        <v/>
      </c>
      <c r="D438" s="3">
        <f>dados_01!D438</f>
        <v>0</v>
      </c>
      <c r="E438" s="3" t="str">
        <f>CONCATENATE(LEFT(dados_01!E438,3),REPT("*",6),RIGHT(dados_01!E438,2))</f>
        <v>******</v>
      </c>
      <c r="F438" s="3">
        <f>dados_01!F438</f>
        <v>0</v>
      </c>
      <c r="G438" s="3">
        <f>dados_01!G438</f>
        <v>0</v>
      </c>
      <c r="H438" s="3">
        <f>dados_01!H438</f>
        <v>0</v>
      </c>
      <c r="I438" s="3">
        <f>dados_01!I438</f>
        <v>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 spans="1:26">
      <c r="A439" s="3">
        <f>dados_01!A439</f>
        <v>0</v>
      </c>
      <c r="B439" s="3">
        <f>dados_01!B439</f>
        <v>0</v>
      </c>
      <c r="C439" s="3" t="str">
        <f>IFERROR(__xludf.dummyfunction("JOIN("". "", ARRAYFORMULA(IFERROR(LEFT(SPLIT(dados_01!C439, "" ""), 1))))"),"")</f>
        <v/>
      </c>
      <c r="D439" s="3">
        <f>dados_01!D439</f>
        <v>0</v>
      </c>
      <c r="E439" s="3" t="str">
        <f>CONCATENATE(LEFT(dados_01!E439,3),REPT("*",6),RIGHT(dados_01!E439,2))</f>
        <v>******</v>
      </c>
      <c r="F439" s="3">
        <f>dados_01!F439</f>
        <v>0</v>
      </c>
      <c r="G439" s="3">
        <f>dados_01!G439</f>
        <v>0</v>
      </c>
      <c r="H439" s="3">
        <f>dados_01!H439</f>
        <v>0</v>
      </c>
      <c r="I439" s="3">
        <f>dados_01!I439</f>
        <v>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 spans="1:26">
      <c r="A440" s="3">
        <f>dados_01!A440</f>
        <v>0</v>
      </c>
      <c r="B440" s="3">
        <f>dados_01!B440</f>
        <v>0</v>
      </c>
      <c r="C440" s="3" t="str">
        <f>IFERROR(__xludf.dummyfunction("JOIN("". "", ARRAYFORMULA(IFERROR(LEFT(SPLIT(dados_01!C440, "" ""), 1))))"),"")</f>
        <v/>
      </c>
      <c r="D440" s="3">
        <f>dados_01!D440</f>
        <v>0</v>
      </c>
      <c r="E440" s="3" t="str">
        <f>CONCATENATE(LEFT(dados_01!E440,3),REPT("*",6),RIGHT(dados_01!E440,2))</f>
        <v>******</v>
      </c>
      <c r="F440" s="3">
        <f>dados_01!F440</f>
        <v>0</v>
      </c>
      <c r="G440" s="3">
        <f>dados_01!G440</f>
        <v>0</v>
      </c>
      <c r="H440" s="3">
        <f>dados_01!H440</f>
        <v>0</v>
      </c>
      <c r="I440" s="3">
        <f>dados_01!I440</f>
        <v>0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 spans="1:26">
      <c r="A441" s="3">
        <f>dados_01!A441</f>
        <v>0</v>
      </c>
      <c r="B441" s="3">
        <f>dados_01!B441</f>
        <v>0</v>
      </c>
      <c r="C441" s="3" t="str">
        <f>IFERROR(__xludf.dummyfunction("JOIN("". "", ARRAYFORMULA(IFERROR(LEFT(SPLIT(dados_01!C441, "" ""), 1))))"),"")</f>
        <v/>
      </c>
      <c r="D441" s="3">
        <f>dados_01!D441</f>
        <v>0</v>
      </c>
      <c r="E441" s="3" t="str">
        <f>CONCATENATE(LEFT(dados_01!E441,3),REPT("*",6),RIGHT(dados_01!E441,2))</f>
        <v>******</v>
      </c>
      <c r="F441" s="3">
        <f>dados_01!F441</f>
        <v>0</v>
      </c>
      <c r="G441" s="3">
        <f>dados_01!G441</f>
        <v>0</v>
      </c>
      <c r="H441" s="3">
        <f>dados_01!H441</f>
        <v>0</v>
      </c>
      <c r="I441" s="3">
        <f>dados_01!I441</f>
        <v>0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 spans="1:26">
      <c r="A442" s="3">
        <f>dados_01!A442</f>
        <v>0</v>
      </c>
      <c r="B442" s="3">
        <f>dados_01!B442</f>
        <v>0</v>
      </c>
      <c r="C442" s="3" t="str">
        <f>IFERROR(__xludf.dummyfunction("JOIN("". "", ARRAYFORMULA(IFERROR(LEFT(SPLIT(dados_01!C442, "" ""), 1))))"),"")</f>
        <v/>
      </c>
      <c r="D442" s="3">
        <f>dados_01!D442</f>
        <v>0</v>
      </c>
      <c r="E442" s="3" t="str">
        <f>CONCATENATE(LEFT(dados_01!E442,3),REPT("*",6),RIGHT(dados_01!E442,2))</f>
        <v>******</v>
      </c>
      <c r="F442" s="3">
        <f>dados_01!F442</f>
        <v>0</v>
      </c>
      <c r="G442" s="3">
        <f>dados_01!G442</f>
        <v>0</v>
      </c>
      <c r="H442" s="3">
        <f>dados_01!H442</f>
        <v>0</v>
      </c>
      <c r="I442" s="3">
        <f>dados_01!I442</f>
        <v>0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 spans="1:26">
      <c r="A443" s="3">
        <f>dados_01!A443</f>
        <v>0</v>
      </c>
      <c r="B443" s="3">
        <f>dados_01!B443</f>
        <v>0</v>
      </c>
      <c r="C443" s="3" t="str">
        <f>IFERROR(__xludf.dummyfunction("JOIN("". "", ARRAYFORMULA(IFERROR(LEFT(SPLIT(dados_01!C443, "" ""), 1))))"),"")</f>
        <v/>
      </c>
      <c r="D443" s="3">
        <f>dados_01!D443</f>
        <v>0</v>
      </c>
      <c r="E443" s="3" t="str">
        <f>CONCATENATE(LEFT(dados_01!E443,3),REPT("*",6),RIGHT(dados_01!E443,2))</f>
        <v>******</v>
      </c>
      <c r="F443" s="3">
        <f>dados_01!F443</f>
        <v>0</v>
      </c>
      <c r="G443" s="3">
        <f>dados_01!G443</f>
        <v>0</v>
      </c>
      <c r="H443" s="3">
        <f>dados_01!H443</f>
        <v>0</v>
      </c>
      <c r="I443" s="3">
        <f>dados_01!I443</f>
        <v>0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 spans="1:26">
      <c r="A444" s="3">
        <f>dados_01!A444</f>
        <v>0</v>
      </c>
      <c r="B444" s="3">
        <f>dados_01!B444</f>
        <v>0</v>
      </c>
      <c r="C444" s="3" t="str">
        <f>IFERROR(__xludf.dummyfunction("JOIN("". "", ARRAYFORMULA(IFERROR(LEFT(SPLIT(dados_01!C444, "" ""), 1))))"),"")</f>
        <v/>
      </c>
      <c r="D444" s="3">
        <f>dados_01!D444</f>
        <v>0</v>
      </c>
      <c r="E444" s="3" t="str">
        <f>CONCATENATE(LEFT(dados_01!E444,3),REPT("*",6),RIGHT(dados_01!E444,2))</f>
        <v>******</v>
      </c>
      <c r="F444" s="3">
        <f>dados_01!F444</f>
        <v>0</v>
      </c>
      <c r="G444" s="3">
        <f>dados_01!G444</f>
        <v>0</v>
      </c>
      <c r="H444" s="3">
        <f>dados_01!H444</f>
        <v>0</v>
      </c>
      <c r="I444" s="3">
        <f>dados_01!I444</f>
        <v>0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 spans="1:26">
      <c r="A445" s="3">
        <f>dados_01!A445</f>
        <v>0</v>
      </c>
      <c r="B445" s="3">
        <f>dados_01!B445</f>
        <v>0</v>
      </c>
      <c r="C445" s="3" t="str">
        <f>IFERROR(__xludf.dummyfunction("JOIN("". "", ARRAYFORMULA(IFERROR(LEFT(SPLIT(dados_01!C445, "" ""), 1))))"),"")</f>
        <v/>
      </c>
      <c r="D445" s="3">
        <f>dados_01!D445</f>
        <v>0</v>
      </c>
      <c r="E445" s="3" t="str">
        <f>CONCATENATE(LEFT(dados_01!E445,3),REPT("*",6),RIGHT(dados_01!E445,2))</f>
        <v>******</v>
      </c>
      <c r="F445" s="3">
        <f>dados_01!F445</f>
        <v>0</v>
      </c>
      <c r="G445" s="3">
        <f>dados_01!G445</f>
        <v>0</v>
      </c>
      <c r="H445" s="3">
        <f>dados_01!H445</f>
        <v>0</v>
      </c>
      <c r="I445" s="3">
        <f>dados_01!I445</f>
        <v>0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 spans="1:26">
      <c r="A446" s="3">
        <f>dados_01!A446</f>
        <v>0</v>
      </c>
      <c r="B446" s="3">
        <f>dados_01!B446</f>
        <v>0</v>
      </c>
      <c r="C446" s="3" t="str">
        <f>IFERROR(__xludf.dummyfunction("JOIN("". "", ARRAYFORMULA(IFERROR(LEFT(SPLIT(dados_01!C446, "" ""), 1))))"),"")</f>
        <v/>
      </c>
      <c r="D446" s="3">
        <f>dados_01!D446</f>
        <v>0</v>
      </c>
      <c r="E446" s="3" t="str">
        <f>CONCATENATE(LEFT(dados_01!E446,3),REPT("*",6),RIGHT(dados_01!E446,2))</f>
        <v>******</v>
      </c>
      <c r="F446" s="3">
        <f>dados_01!F446</f>
        <v>0</v>
      </c>
      <c r="G446" s="3">
        <f>dados_01!G446</f>
        <v>0</v>
      </c>
      <c r="H446" s="3">
        <f>dados_01!H446</f>
        <v>0</v>
      </c>
      <c r="I446" s="3">
        <f>dados_01!I446</f>
        <v>0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 spans="1:26">
      <c r="A447" s="3">
        <f>dados_01!A447</f>
        <v>0</v>
      </c>
      <c r="B447" s="3">
        <f>dados_01!B447</f>
        <v>0</v>
      </c>
      <c r="C447" s="3" t="str">
        <f>IFERROR(__xludf.dummyfunction("JOIN("". "", ARRAYFORMULA(IFERROR(LEFT(SPLIT(dados_01!C447, "" ""), 1))))"),"")</f>
        <v/>
      </c>
      <c r="D447" s="3">
        <f>dados_01!D447</f>
        <v>0</v>
      </c>
      <c r="E447" s="3" t="str">
        <f>CONCATENATE(LEFT(dados_01!E447,3),REPT("*",6),RIGHT(dados_01!E447,2))</f>
        <v>******</v>
      </c>
      <c r="F447" s="3">
        <f>dados_01!F447</f>
        <v>0</v>
      </c>
      <c r="G447" s="3">
        <f>dados_01!G447</f>
        <v>0</v>
      </c>
      <c r="H447" s="3">
        <f>dados_01!H447</f>
        <v>0</v>
      </c>
      <c r="I447" s="3">
        <f>dados_01!I447</f>
        <v>0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 spans="1:26">
      <c r="A448" s="3">
        <f>dados_01!A448</f>
        <v>0</v>
      </c>
      <c r="B448" s="3">
        <f>dados_01!B448</f>
        <v>0</v>
      </c>
      <c r="C448" s="3" t="str">
        <f>IFERROR(__xludf.dummyfunction("JOIN("". "", ARRAYFORMULA(IFERROR(LEFT(SPLIT(dados_01!C448, "" ""), 1))))"),"")</f>
        <v/>
      </c>
      <c r="D448" s="3">
        <f>dados_01!D448</f>
        <v>0</v>
      </c>
      <c r="E448" s="3" t="str">
        <f>CONCATENATE(LEFT(dados_01!E448,3),REPT("*",6),RIGHT(dados_01!E448,2))</f>
        <v>******</v>
      </c>
      <c r="F448" s="3">
        <f>dados_01!F448</f>
        <v>0</v>
      </c>
      <c r="G448" s="3">
        <f>dados_01!G448</f>
        <v>0</v>
      </c>
      <c r="H448" s="3">
        <f>dados_01!H448</f>
        <v>0</v>
      </c>
      <c r="I448" s="3">
        <f>dados_01!I448</f>
        <v>0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 spans="1:26">
      <c r="A449" s="3">
        <f>dados_01!A449</f>
        <v>0</v>
      </c>
      <c r="B449" s="3">
        <f>dados_01!B449</f>
        <v>0</v>
      </c>
      <c r="C449" s="3" t="str">
        <f>IFERROR(__xludf.dummyfunction("JOIN("". "", ARRAYFORMULA(IFERROR(LEFT(SPLIT(dados_01!C449, "" ""), 1))))"),"")</f>
        <v/>
      </c>
      <c r="D449" s="3">
        <f>dados_01!D449</f>
        <v>0</v>
      </c>
      <c r="E449" s="3" t="str">
        <f>CONCATENATE(LEFT(dados_01!E449,3),REPT("*",6),RIGHT(dados_01!E449,2))</f>
        <v>******</v>
      </c>
      <c r="F449" s="3">
        <f>dados_01!F449</f>
        <v>0</v>
      </c>
      <c r="G449" s="3">
        <f>dados_01!G449</f>
        <v>0</v>
      </c>
      <c r="H449" s="3">
        <f>dados_01!H449</f>
        <v>0</v>
      </c>
      <c r="I449" s="3">
        <f>dados_01!I449</f>
        <v>0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 spans="1:26">
      <c r="A450" s="3">
        <f>dados_01!A450</f>
        <v>0</v>
      </c>
      <c r="B450" s="3">
        <f>dados_01!B450</f>
        <v>0</v>
      </c>
      <c r="C450" s="3" t="str">
        <f>IFERROR(__xludf.dummyfunction("JOIN("". "", ARRAYFORMULA(IFERROR(LEFT(SPLIT(dados_01!C450, "" ""), 1))))"),"")</f>
        <v/>
      </c>
      <c r="D450" s="3">
        <f>dados_01!D450</f>
        <v>0</v>
      </c>
      <c r="E450" s="3" t="str">
        <f>CONCATENATE(LEFT(dados_01!E450,3),REPT("*",6),RIGHT(dados_01!E450,2))</f>
        <v>******</v>
      </c>
      <c r="F450" s="3">
        <f>dados_01!F450</f>
        <v>0</v>
      </c>
      <c r="G450" s="3">
        <f>dados_01!G450</f>
        <v>0</v>
      </c>
      <c r="H450" s="3">
        <f>dados_01!H450</f>
        <v>0</v>
      </c>
      <c r="I450" s="3">
        <f>dados_01!I450</f>
        <v>0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 spans="1:26">
      <c r="A451" s="3">
        <f>dados_01!A451</f>
        <v>0</v>
      </c>
      <c r="B451" s="3">
        <f>dados_01!B451</f>
        <v>0</v>
      </c>
      <c r="C451" s="3" t="str">
        <f>IFERROR(__xludf.dummyfunction("JOIN("". "", ARRAYFORMULA(IFERROR(LEFT(SPLIT(dados_01!C451, "" ""), 1))))"),"")</f>
        <v/>
      </c>
      <c r="D451" s="3">
        <f>dados_01!D451</f>
        <v>0</v>
      </c>
      <c r="E451" s="3" t="str">
        <f>CONCATENATE(LEFT(dados_01!E451,3),REPT("*",6),RIGHT(dados_01!E451,2))</f>
        <v>******</v>
      </c>
      <c r="F451" s="3">
        <f>dados_01!F451</f>
        <v>0</v>
      </c>
      <c r="G451" s="3">
        <f>dados_01!G451</f>
        <v>0</v>
      </c>
      <c r="H451" s="3">
        <f>dados_01!H451</f>
        <v>0</v>
      </c>
      <c r="I451" s="3">
        <f>dados_01!I451</f>
        <v>0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 spans="1:26">
      <c r="A452" s="3">
        <f>dados_01!A452</f>
        <v>0</v>
      </c>
      <c r="B452" s="3">
        <f>dados_01!B452</f>
        <v>0</v>
      </c>
      <c r="C452" s="3" t="str">
        <f>IFERROR(__xludf.dummyfunction("JOIN("". "", ARRAYFORMULA(IFERROR(LEFT(SPLIT(dados_01!C452, "" ""), 1))))"),"")</f>
        <v/>
      </c>
      <c r="D452" s="3">
        <f>dados_01!D452</f>
        <v>0</v>
      </c>
      <c r="E452" s="3" t="str">
        <f>CONCATENATE(LEFT(dados_01!E452,3),REPT("*",6),RIGHT(dados_01!E452,2))</f>
        <v>******</v>
      </c>
      <c r="F452" s="3">
        <f>dados_01!F452</f>
        <v>0</v>
      </c>
      <c r="G452" s="3">
        <f>dados_01!G452</f>
        <v>0</v>
      </c>
      <c r="H452" s="3">
        <f>dados_01!H452</f>
        <v>0</v>
      </c>
      <c r="I452" s="3">
        <f>dados_01!I452</f>
        <v>0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 spans="1:26">
      <c r="A453" s="3">
        <f>dados_01!A453</f>
        <v>0</v>
      </c>
      <c r="B453" s="3">
        <f>dados_01!B453</f>
        <v>0</v>
      </c>
      <c r="C453" s="3" t="str">
        <f>IFERROR(__xludf.dummyfunction("JOIN("". "", ARRAYFORMULA(IFERROR(LEFT(SPLIT(dados_01!C453, "" ""), 1))))"),"")</f>
        <v/>
      </c>
      <c r="D453" s="3">
        <f>dados_01!D453</f>
        <v>0</v>
      </c>
      <c r="E453" s="3" t="str">
        <f>CONCATENATE(LEFT(dados_01!E453,3),REPT("*",6),RIGHT(dados_01!E453,2))</f>
        <v>******</v>
      </c>
      <c r="F453" s="3">
        <f>dados_01!F453</f>
        <v>0</v>
      </c>
      <c r="G453" s="3">
        <f>dados_01!G453</f>
        <v>0</v>
      </c>
      <c r="H453" s="3">
        <f>dados_01!H453</f>
        <v>0</v>
      </c>
      <c r="I453" s="3">
        <f>dados_01!I453</f>
        <v>0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 spans="1:26">
      <c r="A454" s="3">
        <f>dados_01!A454</f>
        <v>0</v>
      </c>
      <c r="B454" s="3">
        <f>dados_01!B454</f>
        <v>0</v>
      </c>
      <c r="C454" s="3" t="str">
        <f>IFERROR(__xludf.dummyfunction("JOIN("". "", ARRAYFORMULA(IFERROR(LEFT(SPLIT(dados_01!C454, "" ""), 1))))"),"")</f>
        <v/>
      </c>
      <c r="D454" s="3">
        <f>dados_01!D454</f>
        <v>0</v>
      </c>
      <c r="E454" s="3" t="str">
        <f>CONCATENATE(LEFT(dados_01!E454,3),REPT("*",6),RIGHT(dados_01!E454,2))</f>
        <v>******</v>
      </c>
      <c r="F454" s="3">
        <f>dados_01!F454</f>
        <v>0</v>
      </c>
      <c r="G454" s="3">
        <f>dados_01!G454</f>
        <v>0</v>
      </c>
      <c r="H454" s="3">
        <f>dados_01!H454</f>
        <v>0</v>
      </c>
      <c r="I454" s="3">
        <f>dados_01!I454</f>
        <v>0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 spans="1:26">
      <c r="A455" s="3">
        <f>dados_01!A455</f>
        <v>0</v>
      </c>
      <c r="B455" s="3">
        <f>dados_01!B455</f>
        <v>0</v>
      </c>
      <c r="C455" s="3" t="str">
        <f>IFERROR(__xludf.dummyfunction("JOIN("". "", ARRAYFORMULA(IFERROR(LEFT(SPLIT(dados_01!C455, "" ""), 1))))"),"")</f>
        <v/>
      </c>
      <c r="D455" s="3">
        <f>dados_01!D455</f>
        <v>0</v>
      </c>
      <c r="E455" s="3" t="str">
        <f>CONCATENATE(LEFT(dados_01!E455,3),REPT("*",6),RIGHT(dados_01!E455,2))</f>
        <v>******</v>
      </c>
      <c r="F455" s="3">
        <f>dados_01!F455</f>
        <v>0</v>
      </c>
      <c r="G455" s="3">
        <f>dados_01!G455</f>
        <v>0</v>
      </c>
      <c r="H455" s="3">
        <f>dados_01!H455</f>
        <v>0</v>
      </c>
      <c r="I455" s="3">
        <f>dados_01!I455</f>
        <v>0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 spans="1:26">
      <c r="A456" s="3">
        <f>dados_01!A456</f>
        <v>0</v>
      </c>
      <c r="B456" s="3">
        <f>dados_01!B456</f>
        <v>0</v>
      </c>
      <c r="C456" s="3" t="str">
        <f>IFERROR(__xludf.dummyfunction("JOIN("". "", ARRAYFORMULA(IFERROR(LEFT(SPLIT(dados_01!C456, "" ""), 1))))"),"")</f>
        <v/>
      </c>
      <c r="D456" s="3">
        <f>dados_01!D456</f>
        <v>0</v>
      </c>
      <c r="E456" s="3" t="str">
        <f>CONCATENATE(LEFT(dados_01!E456,3),REPT("*",6),RIGHT(dados_01!E456,2))</f>
        <v>******</v>
      </c>
      <c r="F456" s="3">
        <f>dados_01!F456</f>
        <v>0</v>
      </c>
      <c r="G456" s="3">
        <f>dados_01!G456</f>
        <v>0</v>
      </c>
      <c r="H456" s="3">
        <f>dados_01!H456</f>
        <v>0</v>
      </c>
      <c r="I456" s="3">
        <f>dados_01!I456</f>
        <v>0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 spans="1:26">
      <c r="A457" s="3">
        <f>dados_01!A457</f>
        <v>0</v>
      </c>
      <c r="B457" s="3">
        <f>dados_01!B457</f>
        <v>0</v>
      </c>
      <c r="C457" s="3" t="str">
        <f>IFERROR(__xludf.dummyfunction("JOIN("". "", ARRAYFORMULA(IFERROR(LEFT(SPLIT(dados_01!C457, "" ""), 1))))"),"")</f>
        <v/>
      </c>
      <c r="D457" s="3">
        <f>dados_01!D457</f>
        <v>0</v>
      </c>
      <c r="E457" s="3" t="str">
        <f>CONCATENATE(LEFT(dados_01!E457,3),REPT("*",6),RIGHT(dados_01!E457,2))</f>
        <v>******</v>
      </c>
      <c r="F457" s="3">
        <f>dados_01!F457</f>
        <v>0</v>
      </c>
      <c r="G457" s="3">
        <f>dados_01!G457</f>
        <v>0</v>
      </c>
      <c r="H457" s="3">
        <f>dados_01!H457</f>
        <v>0</v>
      </c>
      <c r="I457" s="3">
        <f>dados_01!I457</f>
        <v>0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 spans="1:26">
      <c r="A458" s="3">
        <f>dados_01!A458</f>
        <v>0</v>
      </c>
      <c r="B458" s="3">
        <f>dados_01!B458</f>
        <v>0</v>
      </c>
      <c r="C458" s="3" t="str">
        <f>IFERROR(__xludf.dummyfunction("JOIN("". "", ARRAYFORMULA(IFERROR(LEFT(SPLIT(dados_01!C458, "" ""), 1))))"),"")</f>
        <v/>
      </c>
      <c r="D458" s="3">
        <f>dados_01!D458</f>
        <v>0</v>
      </c>
      <c r="E458" s="3" t="str">
        <f>CONCATENATE(LEFT(dados_01!E458,3),REPT("*",6),RIGHT(dados_01!E458,2))</f>
        <v>******</v>
      </c>
      <c r="F458" s="3">
        <f>dados_01!F458</f>
        <v>0</v>
      </c>
      <c r="G458" s="3">
        <f>dados_01!G458</f>
        <v>0</v>
      </c>
      <c r="H458" s="3">
        <f>dados_01!H458</f>
        <v>0</v>
      </c>
      <c r="I458" s="3">
        <f>dados_01!I458</f>
        <v>0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 spans="1:26">
      <c r="A459" s="3">
        <f>dados_01!A459</f>
        <v>0</v>
      </c>
      <c r="B459" s="3">
        <f>dados_01!B459</f>
        <v>0</v>
      </c>
      <c r="C459" s="3" t="str">
        <f>IFERROR(__xludf.dummyfunction("JOIN("". "", ARRAYFORMULA(IFERROR(LEFT(SPLIT(dados_01!C459, "" ""), 1))))"),"")</f>
        <v/>
      </c>
      <c r="D459" s="3">
        <f>dados_01!D459</f>
        <v>0</v>
      </c>
      <c r="E459" s="3" t="str">
        <f>CONCATENATE(LEFT(dados_01!E459,3),REPT("*",6),RIGHT(dados_01!E459,2))</f>
        <v>******</v>
      </c>
      <c r="F459" s="3">
        <f>dados_01!F459</f>
        <v>0</v>
      </c>
      <c r="G459" s="3">
        <f>dados_01!G459</f>
        <v>0</v>
      </c>
      <c r="H459" s="3">
        <f>dados_01!H459</f>
        <v>0</v>
      </c>
      <c r="I459" s="3">
        <f>dados_01!I459</f>
        <v>0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 spans="1:26">
      <c r="A460" s="3">
        <f>dados_01!A460</f>
        <v>0</v>
      </c>
      <c r="B460" s="3">
        <f>dados_01!B460</f>
        <v>0</v>
      </c>
      <c r="C460" s="3" t="str">
        <f>IFERROR(__xludf.dummyfunction("JOIN("". "", ARRAYFORMULA(IFERROR(LEFT(SPLIT(dados_01!C460, "" ""), 1))))"),"")</f>
        <v/>
      </c>
      <c r="D460" s="3">
        <f>dados_01!D460</f>
        <v>0</v>
      </c>
      <c r="E460" s="3" t="str">
        <f>CONCATENATE(LEFT(dados_01!E460,3),REPT("*",6),RIGHT(dados_01!E460,2))</f>
        <v>******</v>
      </c>
      <c r="F460" s="3">
        <f>dados_01!F460</f>
        <v>0</v>
      </c>
      <c r="G460" s="3">
        <f>dados_01!G460</f>
        <v>0</v>
      </c>
      <c r="H460" s="3">
        <f>dados_01!H460</f>
        <v>0</v>
      </c>
      <c r="I460" s="3">
        <f>dados_01!I460</f>
        <v>0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 spans="1:26">
      <c r="A461" s="3">
        <f>dados_01!A461</f>
        <v>0</v>
      </c>
      <c r="B461" s="3">
        <f>dados_01!B461</f>
        <v>0</v>
      </c>
      <c r="C461" s="3" t="str">
        <f>IFERROR(__xludf.dummyfunction("JOIN("". "", ARRAYFORMULA(IFERROR(LEFT(SPLIT(dados_01!C461, "" ""), 1))))"),"")</f>
        <v/>
      </c>
      <c r="D461" s="3">
        <f>dados_01!D461</f>
        <v>0</v>
      </c>
      <c r="E461" s="3" t="str">
        <f>CONCATENATE(LEFT(dados_01!E461,3),REPT("*",6),RIGHT(dados_01!E461,2))</f>
        <v>******</v>
      </c>
      <c r="F461" s="3">
        <f>dados_01!F461</f>
        <v>0</v>
      </c>
      <c r="G461" s="3">
        <f>dados_01!G461</f>
        <v>0</v>
      </c>
      <c r="H461" s="3">
        <f>dados_01!H461</f>
        <v>0</v>
      </c>
      <c r="I461" s="3">
        <f>dados_01!I461</f>
        <v>0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 spans="1:26">
      <c r="A462" s="3">
        <f>dados_01!A462</f>
        <v>0</v>
      </c>
      <c r="B462" s="3">
        <f>dados_01!B462</f>
        <v>0</v>
      </c>
      <c r="C462" s="3" t="str">
        <f>IFERROR(__xludf.dummyfunction("JOIN("". "", ARRAYFORMULA(IFERROR(LEFT(SPLIT(dados_01!C462, "" ""), 1))))"),"")</f>
        <v/>
      </c>
      <c r="D462" s="3">
        <f>dados_01!D462</f>
        <v>0</v>
      </c>
      <c r="E462" s="3" t="str">
        <f>CONCATENATE(LEFT(dados_01!E462,3),REPT("*",6),RIGHT(dados_01!E462,2))</f>
        <v>******</v>
      </c>
      <c r="F462" s="3">
        <f>dados_01!F462</f>
        <v>0</v>
      </c>
      <c r="G462" s="3">
        <f>dados_01!G462</f>
        <v>0</v>
      </c>
      <c r="H462" s="3">
        <f>dados_01!H462</f>
        <v>0</v>
      </c>
      <c r="I462" s="3">
        <f>dados_01!I462</f>
        <v>0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 spans="1:26">
      <c r="A463" s="3">
        <f>dados_01!A463</f>
        <v>0</v>
      </c>
      <c r="B463" s="3">
        <f>dados_01!B463</f>
        <v>0</v>
      </c>
      <c r="C463" s="3" t="str">
        <f>IFERROR(__xludf.dummyfunction("JOIN("". "", ARRAYFORMULA(IFERROR(LEFT(SPLIT(dados_01!C463, "" ""), 1))))"),"")</f>
        <v/>
      </c>
      <c r="D463" s="3">
        <f>dados_01!D463</f>
        <v>0</v>
      </c>
      <c r="E463" s="3" t="str">
        <f>CONCATENATE(LEFT(dados_01!E463,3),REPT("*",6),RIGHT(dados_01!E463,2))</f>
        <v>******</v>
      </c>
      <c r="F463" s="3">
        <f>dados_01!F463</f>
        <v>0</v>
      </c>
      <c r="G463" s="3">
        <f>dados_01!G463</f>
        <v>0</v>
      </c>
      <c r="H463" s="3">
        <f>dados_01!H463</f>
        <v>0</v>
      </c>
      <c r="I463" s="3">
        <f>dados_01!I463</f>
        <v>0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 spans="1:26">
      <c r="A464" s="3">
        <f>dados_01!A464</f>
        <v>0</v>
      </c>
      <c r="B464" s="3">
        <f>dados_01!B464</f>
        <v>0</v>
      </c>
      <c r="C464" s="3" t="str">
        <f>IFERROR(__xludf.dummyfunction("JOIN("". "", ARRAYFORMULA(IFERROR(LEFT(SPLIT(dados_01!C464, "" ""), 1))))"),"")</f>
        <v/>
      </c>
      <c r="D464" s="3">
        <f>dados_01!D464</f>
        <v>0</v>
      </c>
      <c r="E464" s="3" t="str">
        <f>CONCATENATE(LEFT(dados_01!E464,3),REPT("*",6),RIGHT(dados_01!E464,2))</f>
        <v>******</v>
      </c>
      <c r="F464" s="3">
        <f>dados_01!F464</f>
        <v>0</v>
      </c>
      <c r="G464" s="3">
        <f>dados_01!G464</f>
        <v>0</v>
      </c>
      <c r="H464" s="3">
        <f>dados_01!H464</f>
        <v>0</v>
      </c>
      <c r="I464" s="3">
        <f>dados_01!I464</f>
        <v>0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 spans="1:26">
      <c r="A465" s="3">
        <f>dados_01!A465</f>
        <v>0</v>
      </c>
      <c r="B465" s="3">
        <f>dados_01!B465</f>
        <v>0</v>
      </c>
      <c r="C465" s="3" t="str">
        <f>IFERROR(__xludf.dummyfunction("JOIN("". "", ARRAYFORMULA(IFERROR(LEFT(SPLIT(dados_01!C465, "" ""), 1))))"),"")</f>
        <v/>
      </c>
      <c r="D465" s="3">
        <f>dados_01!D465</f>
        <v>0</v>
      </c>
      <c r="E465" s="3" t="str">
        <f>CONCATENATE(LEFT(dados_01!E465,3),REPT("*",6),RIGHT(dados_01!E465,2))</f>
        <v>******</v>
      </c>
      <c r="F465" s="3">
        <f>dados_01!F465</f>
        <v>0</v>
      </c>
      <c r="G465" s="3">
        <f>dados_01!G465</f>
        <v>0</v>
      </c>
      <c r="H465" s="3">
        <f>dados_01!H465</f>
        <v>0</v>
      </c>
      <c r="I465" s="3">
        <f>dados_01!I465</f>
        <v>0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 spans="1:26">
      <c r="A466" s="3">
        <f>dados_01!A466</f>
        <v>0</v>
      </c>
      <c r="B466" s="3">
        <f>dados_01!B466</f>
        <v>0</v>
      </c>
      <c r="C466" s="3" t="str">
        <f>IFERROR(__xludf.dummyfunction("JOIN("". "", ARRAYFORMULA(IFERROR(LEFT(SPLIT(dados_01!C466, "" ""), 1))))"),"")</f>
        <v/>
      </c>
      <c r="D466" s="3">
        <f>dados_01!D466</f>
        <v>0</v>
      </c>
      <c r="E466" s="3" t="str">
        <f>CONCATENATE(LEFT(dados_01!E466,3),REPT("*",6),RIGHT(dados_01!E466,2))</f>
        <v>******</v>
      </c>
      <c r="F466" s="3">
        <f>dados_01!F466</f>
        <v>0</v>
      </c>
      <c r="G466" s="3">
        <f>dados_01!G466</f>
        <v>0</v>
      </c>
      <c r="H466" s="3">
        <f>dados_01!H466</f>
        <v>0</v>
      </c>
      <c r="I466" s="3">
        <f>dados_01!I466</f>
        <v>0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 spans="1:26">
      <c r="A467" s="3">
        <f>dados_01!A467</f>
        <v>0</v>
      </c>
      <c r="B467" s="3">
        <f>dados_01!B467</f>
        <v>0</v>
      </c>
      <c r="C467" s="3" t="str">
        <f>IFERROR(__xludf.dummyfunction("JOIN("". "", ARRAYFORMULA(IFERROR(LEFT(SPLIT(dados_01!C467, "" ""), 1))))"),"")</f>
        <v/>
      </c>
      <c r="D467" s="3">
        <f>dados_01!D467</f>
        <v>0</v>
      </c>
      <c r="E467" s="3" t="str">
        <f>CONCATENATE(LEFT(dados_01!E467,3),REPT("*",6),RIGHT(dados_01!E467,2))</f>
        <v>******</v>
      </c>
      <c r="F467" s="3">
        <f>dados_01!F467</f>
        <v>0</v>
      </c>
      <c r="G467" s="3">
        <f>dados_01!G467</f>
        <v>0</v>
      </c>
      <c r="H467" s="3">
        <f>dados_01!H467</f>
        <v>0</v>
      </c>
      <c r="I467" s="3">
        <f>dados_01!I467</f>
        <v>0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 spans="1:26">
      <c r="A468" s="3">
        <f>dados_01!A468</f>
        <v>0</v>
      </c>
      <c r="B468" s="3">
        <f>dados_01!B468</f>
        <v>0</v>
      </c>
      <c r="C468" s="3" t="str">
        <f>IFERROR(__xludf.dummyfunction("JOIN("". "", ARRAYFORMULA(IFERROR(LEFT(SPLIT(dados_01!C468, "" ""), 1))))"),"")</f>
        <v/>
      </c>
      <c r="D468" s="3">
        <f>dados_01!D468</f>
        <v>0</v>
      </c>
      <c r="E468" s="3" t="str">
        <f>CONCATENATE(LEFT(dados_01!E468,3),REPT("*",6),RIGHT(dados_01!E468,2))</f>
        <v>******</v>
      </c>
      <c r="F468" s="3">
        <f>dados_01!F468</f>
        <v>0</v>
      </c>
      <c r="G468" s="3">
        <f>dados_01!G468</f>
        <v>0</v>
      </c>
      <c r="H468" s="3">
        <f>dados_01!H468</f>
        <v>0</v>
      </c>
      <c r="I468" s="3">
        <f>dados_01!I468</f>
        <v>0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 spans="1:26">
      <c r="A469" s="3">
        <f>dados_01!A469</f>
        <v>0</v>
      </c>
      <c r="B469" s="3">
        <f>dados_01!B469</f>
        <v>0</v>
      </c>
      <c r="C469" s="3" t="str">
        <f>IFERROR(__xludf.dummyfunction("JOIN("". "", ARRAYFORMULA(IFERROR(LEFT(SPLIT(dados_01!C469, "" ""), 1))))"),"")</f>
        <v/>
      </c>
      <c r="D469" s="3">
        <f>dados_01!D469</f>
        <v>0</v>
      </c>
      <c r="E469" s="3" t="str">
        <f>CONCATENATE(LEFT(dados_01!E469,3),REPT("*",6),RIGHT(dados_01!E469,2))</f>
        <v>******</v>
      </c>
      <c r="F469" s="3">
        <f>dados_01!F469</f>
        <v>0</v>
      </c>
      <c r="G469" s="3">
        <f>dados_01!G469</f>
        <v>0</v>
      </c>
      <c r="H469" s="3">
        <f>dados_01!H469</f>
        <v>0</v>
      </c>
      <c r="I469" s="3">
        <f>dados_01!I469</f>
        <v>0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 spans="1:26">
      <c r="A470" s="3">
        <f>dados_01!A470</f>
        <v>0</v>
      </c>
      <c r="B470" s="3">
        <f>dados_01!B470</f>
        <v>0</v>
      </c>
      <c r="C470" s="3" t="str">
        <f>IFERROR(__xludf.dummyfunction("JOIN("". "", ARRAYFORMULA(IFERROR(LEFT(SPLIT(dados_01!C470, "" ""), 1))))"),"")</f>
        <v/>
      </c>
      <c r="D470" s="3">
        <f>dados_01!D470</f>
        <v>0</v>
      </c>
      <c r="E470" s="3" t="str">
        <f>CONCATENATE(LEFT(dados_01!E470,3),REPT("*",6),RIGHT(dados_01!E470,2))</f>
        <v>******</v>
      </c>
      <c r="F470" s="3">
        <f>dados_01!F470</f>
        <v>0</v>
      </c>
      <c r="G470" s="3">
        <f>dados_01!G470</f>
        <v>0</v>
      </c>
      <c r="H470" s="3">
        <f>dados_01!H470</f>
        <v>0</v>
      </c>
      <c r="I470" s="3">
        <f>dados_01!I470</f>
        <v>0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 spans="1:26">
      <c r="A471" s="3">
        <f>dados_01!A471</f>
        <v>0</v>
      </c>
      <c r="B471" s="3">
        <f>dados_01!B471</f>
        <v>0</v>
      </c>
      <c r="C471" s="3" t="str">
        <f>IFERROR(__xludf.dummyfunction("JOIN("". "", ARRAYFORMULA(IFERROR(LEFT(SPLIT(dados_01!C471, "" ""), 1))))"),"")</f>
        <v/>
      </c>
      <c r="D471" s="3">
        <f>dados_01!D471</f>
        <v>0</v>
      </c>
      <c r="E471" s="3" t="str">
        <f>CONCATENATE(LEFT(dados_01!E471,3),REPT("*",6),RIGHT(dados_01!E471,2))</f>
        <v>******</v>
      </c>
      <c r="F471" s="3">
        <f>dados_01!F471</f>
        <v>0</v>
      </c>
      <c r="G471" s="3">
        <f>dados_01!G471</f>
        <v>0</v>
      </c>
      <c r="H471" s="3">
        <f>dados_01!H471</f>
        <v>0</v>
      </c>
      <c r="I471" s="3">
        <f>dados_01!I471</f>
        <v>0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 spans="1:26">
      <c r="A472" s="3">
        <f>dados_01!A472</f>
        <v>0</v>
      </c>
      <c r="B472" s="3">
        <f>dados_01!B472</f>
        <v>0</v>
      </c>
      <c r="C472" s="3" t="str">
        <f>IFERROR(__xludf.dummyfunction("JOIN("". "", ARRAYFORMULA(IFERROR(LEFT(SPLIT(dados_01!C472, "" ""), 1))))"),"")</f>
        <v/>
      </c>
      <c r="D472" s="3">
        <f>dados_01!D472</f>
        <v>0</v>
      </c>
      <c r="E472" s="3" t="str">
        <f>CONCATENATE(LEFT(dados_01!E472,3),REPT("*",6),RIGHT(dados_01!E472,2))</f>
        <v>******</v>
      </c>
      <c r="F472" s="3">
        <f>dados_01!F472</f>
        <v>0</v>
      </c>
      <c r="G472" s="3">
        <f>dados_01!G472</f>
        <v>0</v>
      </c>
      <c r="H472" s="3">
        <f>dados_01!H472</f>
        <v>0</v>
      </c>
      <c r="I472" s="3">
        <f>dados_01!I472</f>
        <v>0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 spans="1:26">
      <c r="A473" s="3">
        <f>dados_01!A473</f>
        <v>0</v>
      </c>
      <c r="B473" s="3">
        <f>dados_01!B473</f>
        <v>0</v>
      </c>
      <c r="C473" s="3" t="str">
        <f>IFERROR(__xludf.dummyfunction("JOIN("". "", ARRAYFORMULA(IFERROR(LEFT(SPLIT(dados_01!C473, "" ""), 1))))"),"")</f>
        <v/>
      </c>
      <c r="D473" s="3">
        <f>dados_01!D473</f>
        <v>0</v>
      </c>
      <c r="E473" s="3" t="str">
        <f>CONCATENATE(LEFT(dados_01!E473,3),REPT("*",6),RIGHT(dados_01!E473,2))</f>
        <v>******</v>
      </c>
      <c r="F473" s="3">
        <f>dados_01!F473</f>
        <v>0</v>
      </c>
      <c r="G473" s="3">
        <f>dados_01!G473</f>
        <v>0</v>
      </c>
      <c r="H473" s="3">
        <f>dados_01!H473</f>
        <v>0</v>
      </c>
      <c r="I473" s="3">
        <f>dados_01!I473</f>
        <v>0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 spans="1:26">
      <c r="A474" s="3">
        <f>dados_01!A474</f>
        <v>0</v>
      </c>
      <c r="B474" s="3">
        <f>dados_01!B474</f>
        <v>0</v>
      </c>
      <c r="C474" s="3" t="str">
        <f>IFERROR(__xludf.dummyfunction("JOIN("". "", ARRAYFORMULA(IFERROR(LEFT(SPLIT(dados_01!C474, "" ""), 1))))"),"")</f>
        <v/>
      </c>
      <c r="D474" s="3">
        <f>dados_01!D474</f>
        <v>0</v>
      </c>
      <c r="E474" s="3" t="str">
        <f>CONCATENATE(LEFT(dados_01!E474,3),REPT("*",6),RIGHT(dados_01!E474,2))</f>
        <v>******</v>
      </c>
      <c r="F474" s="3">
        <f>dados_01!F474</f>
        <v>0</v>
      </c>
      <c r="G474" s="3">
        <f>dados_01!G474</f>
        <v>0</v>
      </c>
      <c r="H474" s="3">
        <f>dados_01!H474</f>
        <v>0</v>
      </c>
      <c r="I474" s="3">
        <f>dados_01!I474</f>
        <v>0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 spans="1:26">
      <c r="A475" s="3">
        <f>dados_01!A475</f>
        <v>0</v>
      </c>
      <c r="B475" s="3">
        <f>dados_01!B475</f>
        <v>0</v>
      </c>
      <c r="C475" s="3" t="str">
        <f>IFERROR(__xludf.dummyfunction("JOIN("". "", ARRAYFORMULA(IFERROR(LEFT(SPLIT(dados_01!C475, "" ""), 1))))"),"")</f>
        <v/>
      </c>
      <c r="D475" s="3">
        <f>dados_01!D475</f>
        <v>0</v>
      </c>
      <c r="E475" s="3" t="str">
        <f>CONCATENATE(LEFT(dados_01!E475,3),REPT("*",6),RIGHT(dados_01!E475,2))</f>
        <v>******</v>
      </c>
      <c r="F475" s="3">
        <f>dados_01!F475</f>
        <v>0</v>
      </c>
      <c r="G475" s="3">
        <f>dados_01!G475</f>
        <v>0</v>
      </c>
      <c r="H475" s="3">
        <f>dados_01!H475</f>
        <v>0</v>
      </c>
      <c r="I475" s="3">
        <f>dados_01!I475</f>
        <v>0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 spans="1:26">
      <c r="A476" s="3">
        <f>dados_01!A476</f>
        <v>0</v>
      </c>
      <c r="B476" s="3">
        <f>dados_01!B476</f>
        <v>0</v>
      </c>
      <c r="C476" s="3" t="str">
        <f>IFERROR(__xludf.dummyfunction("JOIN("". "", ARRAYFORMULA(IFERROR(LEFT(SPLIT(dados_01!C476, "" ""), 1))))"),"")</f>
        <v/>
      </c>
      <c r="D476" s="3">
        <f>dados_01!D476</f>
        <v>0</v>
      </c>
      <c r="E476" s="3" t="str">
        <f>CONCATENATE(LEFT(dados_01!E476,3),REPT("*",6),RIGHT(dados_01!E476,2))</f>
        <v>******</v>
      </c>
      <c r="F476" s="3">
        <f>dados_01!F476</f>
        <v>0</v>
      </c>
      <c r="G476" s="3">
        <f>dados_01!G476</f>
        <v>0</v>
      </c>
      <c r="H476" s="3">
        <f>dados_01!H476</f>
        <v>0</v>
      </c>
      <c r="I476" s="3">
        <f>dados_01!I476</f>
        <v>0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 spans="1:26">
      <c r="A477" s="3">
        <f>dados_01!A477</f>
        <v>0</v>
      </c>
      <c r="B477" s="3">
        <f>dados_01!B477</f>
        <v>0</v>
      </c>
      <c r="C477" s="3" t="str">
        <f>IFERROR(__xludf.dummyfunction("JOIN("". "", ARRAYFORMULA(IFERROR(LEFT(SPLIT(dados_01!C477, "" ""), 1))))"),"")</f>
        <v/>
      </c>
      <c r="D477" s="3">
        <f>dados_01!D477</f>
        <v>0</v>
      </c>
      <c r="E477" s="3" t="str">
        <f>CONCATENATE(LEFT(dados_01!E477,3),REPT("*",6),RIGHT(dados_01!E477,2))</f>
        <v>******</v>
      </c>
      <c r="F477" s="3">
        <f>dados_01!F477</f>
        <v>0</v>
      </c>
      <c r="G477" s="3">
        <f>dados_01!G477</f>
        <v>0</v>
      </c>
      <c r="H477" s="3">
        <f>dados_01!H477</f>
        <v>0</v>
      </c>
      <c r="I477" s="3">
        <f>dados_01!I477</f>
        <v>0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 spans="1:26">
      <c r="A478" s="3">
        <f>dados_01!A478</f>
        <v>0</v>
      </c>
      <c r="B478" s="3">
        <f>dados_01!B478</f>
        <v>0</v>
      </c>
      <c r="C478" s="3" t="str">
        <f>IFERROR(__xludf.dummyfunction("JOIN("". "", ARRAYFORMULA(IFERROR(LEFT(SPLIT(dados_01!C478, "" ""), 1))))"),"")</f>
        <v/>
      </c>
      <c r="D478" s="3">
        <f>dados_01!D478</f>
        <v>0</v>
      </c>
      <c r="E478" s="3" t="str">
        <f>CONCATENATE(LEFT(dados_01!E478,3),REPT("*",6),RIGHT(dados_01!E478,2))</f>
        <v>******</v>
      </c>
      <c r="F478" s="3">
        <f>dados_01!F478</f>
        <v>0</v>
      </c>
      <c r="G478" s="3">
        <f>dados_01!G478</f>
        <v>0</v>
      </c>
      <c r="H478" s="3">
        <f>dados_01!H478</f>
        <v>0</v>
      </c>
      <c r="I478" s="3">
        <f>dados_01!I478</f>
        <v>0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 spans="1:26">
      <c r="A479" s="3">
        <f>dados_01!A479</f>
        <v>0</v>
      </c>
      <c r="B479" s="3">
        <f>dados_01!B479</f>
        <v>0</v>
      </c>
      <c r="C479" s="3" t="str">
        <f>IFERROR(__xludf.dummyfunction("JOIN("". "", ARRAYFORMULA(IFERROR(LEFT(SPLIT(dados_01!C479, "" ""), 1))))"),"")</f>
        <v/>
      </c>
      <c r="D479" s="3">
        <f>dados_01!D479</f>
        <v>0</v>
      </c>
      <c r="E479" s="3" t="str">
        <f>CONCATENATE(LEFT(dados_01!E479,3),REPT("*",6),RIGHT(dados_01!E479,2))</f>
        <v>******</v>
      </c>
      <c r="F479" s="3">
        <f>dados_01!F479</f>
        <v>0</v>
      </c>
      <c r="G479" s="3">
        <f>dados_01!G479</f>
        <v>0</v>
      </c>
      <c r="H479" s="3">
        <f>dados_01!H479</f>
        <v>0</v>
      </c>
      <c r="I479" s="3">
        <f>dados_01!I479</f>
        <v>0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 spans="1:26">
      <c r="A480" s="3">
        <f>dados_01!A480</f>
        <v>0</v>
      </c>
      <c r="B480" s="3">
        <f>dados_01!B480</f>
        <v>0</v>
      </c>
      <c r="C480" s="3" t="str">
        <f>IFERROR(__xludf.dummyfunction("JOIN("". "", ARRAYFORMULA(IFERROR(LEFT(SPLIT(dados_01!C480, "" ""), 1))))"),"")</f>
        <v/>
      </c>
      <c r="D480" s="3">
        <f>dados_01!D480</f>
        <v>0</v>
      </c>
      <c r="E480" s="3" t="str">
        <f>CONCATENATE(LEFT(dados_01!E480,3),REPT("*",6),RIGHT(dados_01!E480,2))</f>
        <v>******</v>
      </c>
      <c r="F480" s="3">
        <f>dados_01!F480</f>
        <v>0</v>
      </c>
      <c r="G480" s="3">
        <f>dados_01!G480</f>
        <v>0</v>
      </c>
      <c r="H480" s="3">
        <f>dados_01!H480</f>
        <v>0</v>
      </c>
      <c r="I480" s="3">
        <f>dados_01!I480</f>
        <v>0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 spans="1:26">
      <c r="A481" s="3">
        <f>dados_01!A481</f>
        <v>0</v>
      </c>
      <c r="B481" s="3">
        <f>dados_01!B481</f>
        <v>0</v>
      </c>
      <c r="C481" s="3" t="str">
        <f>IFERROR(__xludf.dummyfunction("JOIN("". "", ARRAYFORMULA(IFERROR(LEFT(SPLIT(dados_01!C481, "" ""), 1))))"),"")</f>
        <v/>
      </c>
      <c r="D481" s="3">
        <f>dados_01!D481</f>
        <v>0</v>
      </c>
      <c r="E481" s="3" t="str">
        <f>CONCATENATE(LEFT(dados_01!E481,3),REPT("*",6),RIGHT(dados_01!E481,2))</f>
        <v>******</v>
      </c>
      <c r="F481" s="3">
        <f>dados_01!F481</f>
        <v>0</v>
      </c>
      <c r="G481" s="3">
        <f>dados_01!G481</f>
        <v>0</v>
      </c>
      <c r="H481" s="3">
        <f>dados_01!H481</f>
        <v>0</v>
      </c>
      <c r="I481" s="3">
        <f>dados_01!I481</f>
        <v>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 spans="1:26">
      <c r="A482" s="3">
        <f>dados_01!A482</f>
        <v>0</v>
      </c>
      <c r="B482" s="3">
        <f>dados_01!B482</f>
        <v>0</v>
      </c>
      <c r="C482" s="3" t="str">
        <f>IFERROR(__xludf.dummyfunction("JOIN("". "", ARRAYFORMULA(IFERROR(LEFT(SPLIT(dados_01!C482, "" ""), 1))))"),"")</f>
        <v/>
      </c>
      <c r="D482" s="3">
        <f>dados_01!D482</f>
        <v>0</v>
      </c>
      <c r="E482" s="3" t="str">
        <f>CONCATENATE(LEFT(dados_01!E482,3),REPT("*",6),RIGHT(dados_01!E482,2))</f>
        <v>******</v>
      </c>
      <c r="F482" s="3">
        <f>dados_01!F482</f>
        <v>0</v>
      </c>
      <c r="G482" s="3">
        <f>dados_01!G482</f>
        <v>0</v>
      </c>
      <c r="H482" s="3">
        <f>dados_01!H482</f>
        <v>0</v>
      </c>
      <c r="I482" s="3">
        <f>dados_01!I482</f>
        <v>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 spans="1:26">
      <c r="A483" s="3">
        <f>dados_01!A483</f>
        <v>0</v>
      </c>
      <c r="B483" s="3">
        <f>dados_01!B483</f>
        <v>0</v>
      </c>
      <c r="C483" s="3" t="str">
        <f>IFERROR(__xludf.dummyfunction("JOIN("". "", ARRAYFORMULA(IFERROR(LEFT(SPLIT(dados_01!C483, "" ""), 1))))"),"")</f>
        <v/>
      </c>
      <c r="D483" s="3">
        <f>dados_01!D483</f>
        <v>0</v>
      </c>
      <c r="E483" s="3" t="str">
        <f>CONCATENATE(LEFT(dados_01!E483,3),REPT("*",6),RIGHT(dados_01!E483,2))</f>
        <v>******</v>
      </c>
      <c r="F483" s="3">
        <f>dados_01!F483</f>
        <v>0</v>
      </c>
      <c r="G483" s="3">
        <f>dados_01!G483</f>
        <v>0</v>
      </c>
      <c r="H483" s="3">
        <f>dados_01!H483</f>
        <v>0</v>
      </c>
      <c r="I483" s="3">
        <f>dados_01!I483</f>
        <v>0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 spans="1:26">
      <c r="A484" s="3">
        <f>dados_01!A484</f>
        <v>0</v>
      </c>
      <c r="B484" s="3">
        <f>dados_01!B484</f>
        <v>0</v>
      </c>
      <c r="C484" s="3" t="str">
        <f>IFERROR(__xludf.dummyfunction("JOIN("". "", ARRAYFORMULA(IFERROR(LEFT(SPLIT(dados_01!C484, "" ""), 1))))"),"")</f>
        <v/>
      </c>
      <c r="D484" s="3">
        <f>dados_01!D484</f>
        <v>0</v>
      </c>
      <c r="E484" s="3" t="str">
        <f>CONCATENATE(LEFT(dados_01!E484,3),REPT("*",6),RIGHT(dados_01!E484,2))</f>
        <v>******</v>
      </c>
      <c r="F484" s="3">
        <f>dados_01!F484</f>
        <v>0</v>
      </c>
      <c r="G484" s="3">
        <f>dados_01!G484</f>
        <v>0</v>
      </c>
      <c r="H484" s="3">
        <f>dados_01!H484</f>
        <v>0</v>
      </c>
      <c r="I484" s="3">
        <f>dados_01!I484</f>
        <v>0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 spans="1:26">
      <c r="A485" s="3">
        <f>dados_01!A485</f>
        <v>0</v>
      </c>
      <c r="B485" s="3">
        <f>dados_01!B485</f>
        <v>0</v>
      </c>
      <c r="C485" s="3" t="str">
        <f>IFERROR(__xludf.dummyfunction("JOIN("". "", ARRAYFORMULA(IFERROR(LEFT(SPLIT(dados_01!C485, "" ""), 1))))"),"")</f>
        <v/>
      </c>
      <c r="D485" s="3">
        <f>dados_01!D485</f>
        <v>0</v>
      </c>
      <c r="E485" s="3" t="str">
        <f>CONCATENATE(LEFT(dados_01!E485,3),REPT("*",6),RIGHT(dados_01!E485,2))</f>
        <v>******</v>
      </c>
      <c r="F485" s="3">
        <f>dados_01!F485</f>
        <v>0</v>
      </c>
      <c r="G485" s="3">
        <f>dados_01!G485</f>
        <v>0</v>
      </c>
      <c r="H485" s="3">
        <f>dados_01!H485</f>
        <v>0</v>
      </c>
      <c r="I485" s="3">
        <f>dados_01!I485</f>
        <v>0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 spans="1:26">
      <c r="A486" s="3">
        <f>dados_01!A486</f>
        <v>0</v>
      </c>
      <c r="B486" s="3">
        <f>dados_01!B486</f>
        <v>0</v>
      </c>
      <c r="C486" s="3" t="str">
        <f>IFERROR(__xludf.dummyfunction("JOIN("". "", ARRAYFORMULA(IFERROR(LEFT(SPLIT(dados_01!C486, "" ""), 1))))"),"")</f>
        <v/>
      </c>
      <c r="D486" s="3">
        <f>dados_01!D486</f>
        <v>0</v>
      </c>
      <c r="E486" s="3" t="str">
        <f>CONCATENATE(LEFT(dados_01!E486,3),REPT("*",6),RIGHT(dados_01!E486,2))</f>
        <v>******</v>
      </c>
      <c r="F486" s="3">
        <f>dados_01!F486</f>
        <v>0</v>
      </c>
      <c r="G486" s="3">
        <f>dados_01!G486</f>
        <v>0</v>
      </c>
      <c r="H486" s="3">
        <f>dados_01!H486</f>
        <v>0</v>
      </c>
      <c r="I486" s="3">
        <f>dados_01!I486</f>
        <v>0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 spans="1:26">
      <c r="A487" s="3">
        <f>dados_01!A487</f>
        <v>0</v>
      </c>
      <c r="B487" s="3">
        <f>dados_01!B487</f>
        <v>0</v>
      </c>
      <c r="C487" s="3" t="str">
        <f>IFERROR(__xludf.dummyfunction("JOIN("". "", ARRAYFORMULA(IFERROR(LEFT(SPLIT(dados_01!C487, "" ""), 1))))"),"")</f>
        <v/>
      </c>
      <c r="D487" s="3">
        <f>dados_01!D487</f>
        <v>0</v>
      </c>
      <c r="E487" s="3" t="str">
        <f>CONCATENATE(LEFT(dados_01!E487,3),REPT("*",6),RIGHT(dados_01!E487,2))</f>
        <v>******</v>
      </c>
      <c r="F487" s="3">
        <f>dados_01!F487</f>
        <v>0</v>
      </c>
      <c r="G487" s="3">
        <f>dados_01!G487</f>
        <v>0</v>
      </c>
      <c r="H487" s="3">
        <f>dados_01!H487</f>
        <v>0</v>
      </c>
      <c r="I487" s="3">
        <f>dados_01!I487</f>
        <v>0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 spans="1:26">
      <c r="A488" s="3">
        <f>dados_01!A488</f>
        <v>0</v>
      </c>
      <c r="B488" s="3">
        <f>dados_01!B488</f>
        <v>0</v>
      </c>
      <c r="C488" s="3" t="str">
        <f>IFERROR(__xludf.dummyfunction("JOIN("". "", ARRAYFORMULA(IFERROR(LEFT(SPLIT(dados_01!C488, "" ""), 1))))"),"")</f>
        <v/>
      </c>
      <c r="D488" s="3">
        <f>dados_01!D488</f>
        <v>0</v>
      </c>
      <c r="E488" s="3" t="str">
        <f>CONCATENATE(LEFT(dados_01!E488,3),REPT("*",6),RIGHT(dados_01!E488,2))</f>
        <v>******</v>
      </c>
      <c r="F488" s="3">
        <f>dados_01!F488</f>
        <v>0</v>
      </c>
      <c r="G488" s="3">
        <f>dados_01!G488</f>
        <v>0</v>
      </c>
      <c r="H488" s="3">
        <f>dados_01!H488</f>
        <v>0</v>
      </c>
      <c r="I488" s="3">
        <f>dados_01!I488</f>
        <v>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 spans="1:26">
      <c r="A489" s="3">
        <f>dados_01!A489</f>
        <v>0</v>
      </c>
      <c r="B489" s="3">
        <f>dados_01!B489</f>
        <v>0</v>
      </c>
      <c r="C489" s="3" t="str">
        <f>IFERROR(__xludf.dummyfunction("JOIN("". "", ARRAYFORMULA(IFERROR(LEFT(SPLIT(dados_01!C489, "" ""), 1))))"),"")</f>
        <v/>
      </c>
      <c r="D489" s="3">
        <f>dados_01!D489</f>
        <v>0</v>
      </c>
      <c r="E489" s="3" t="str">
        <f>CONCATENATE(LEFT(dados_01!E489,3),REPT("*",6),RIGHT(dados_01!E489,2))</f>
        <v>******</v>
      </c>
      <c r="F489" s="3">
        <f>dados_01!F489</f>
        <v>0</v>
      </c>
      <c r="G489" s="3">
        <f>dados_01!G489</f>
        <v>0</v>
      </c>
      <c r="H489" s="3">
        <f>dados_01!H489</f>
        <v>0</v>
      </c>
      <c r="I489" s="3">
        <f>dados_01!I489</f>
        <v>0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 spans="1:26">
      <c r="A490" s="3">
        <f>dados_01!A490</f>
        <v>0</v>
      </c>
      <c r="B490" s="3">
        <f>dados_01!B490</f>
        <v>0</v>
      </c>
      <c r="C490" s="3" t="str">
        <f>IFERROR(__xludf.dummyfunction("JOIN("". "", ARRAYFORMULA(IFERROR(LEFT(SPLIT(dados_01!C490, "" ""), 1))))"),"")</f>
        <v/>
      </c>
      <c r="D490" s="3">
        <f>dados_01!D490</f>
        <v>0</v>
      </c>
      <c r="E490" s="3" t="str">
        <f>CONCATENATE(LEFT(dados_01!E490,3),REPT("*",6),RIGHT(dados_01!E490,2))</f>
        <v>******</v>
      </c>
      <c r="F490" s="3">
        <f>dados_01!F490</f>
        <v>0</v>
      </c>
      <c r="G490" s="3">
        <f>dados_01!G490</f>
        <v>0</v>
      </c>
      <c r="H490" s="3">
        <f>dados_01!H490</f>
        <v>0</v>
      </c>
      <c r="I490" s="3">
        <f>dados_01!I490</f>
        <v>0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 spans="1:26">
      <c r="A491" s="3">
        <f>dados_01!A491</f>
        <v>0</v>
      </c>
      <c r="B491" s="3">
        <f>dados_01!B491</f>
        <v>0</v>
      </c>
      <c r="C491" s="3" t="str">
        <f>IFERROR(__xludf.dummyfunction("JOIN("". "", ARRAYFORMULA(IFERROR(LEFT(SPLIT(dados_01!C491, "" ""), 1))))"),"")</f>
        <v/>
      </c>
      <c r="D491" s="3">
        <f>dados_01!D491</f>
        <v>0</v>
      </c>
      <c r="E491" s="3" t="str">
        <f>CONCATENATE(LEFT(dados_01!E491,3),REPT("*",6),RIGHT(dados_01!E491,2))</f>
        <v>******</v>
      </c>
      <c r="F491" s="3">
        <f>dados_01!F491</f>
        <v>0</v>
      </c>
      <c r="G491" s="3">
        <f>dados_01!G491</f>
        <v>0</v>
      </c>
      <c r="H491" s="3">
        <f>dados_01!H491</f>
        <v>0</v>
      </c>
      <c r="I491" s="3">
        <f>dados_01!I491</f>
        <v>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 spans="1:26">
      <c r="A492" s="3">
        <f>dados_01!A492</f>
        <v>0</v>
      </c>
      <c r="B492" s="3">
        <f>dados_01!B492</f>
        <v>0</v>
      </c>
      <c r="C492" s="3" t="str">
        <f>IFERROR(__xludf.dummyfunction("JOIN("". "", ARRAYFORMULA(IFERROR(LEFT(SPLIT(dados_01!C492, "" ""), 1))))"),"")</f>
        <v/>
      </c>
      <c r="D492" s="3">
        <f>dados_01!D492</f>
        <v>0</v>
      </c>
      <c r="E492" s="3" t="str">
        <f>CONCATENATE(LEFT(dados_01!E492,3),REPT("*",6),RIGHT(dados_01!E492,2))</f>
        <v>******</v>
      </c>
      <c r="F492" s="3">
        <f>dados_01!F492</f>
        <v>0</v>
      </c>
      <c r="G492" s="3">
        <f>dados_01!G492</f>
        <v>0</v>
      </c>
      <c r="H492" s="3">
        <f>dados_01!H492</f>
        <v>0</v>
      </c>
      <c r="I492" s="3">
        <f>dados_01!I492</f>
        <v>0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 spans="1:26">
      <c r="A493" s="3">
        <f>dados_01!A493</f>
        <v>0</v>
      </c>
      <c r="B493" s="3">
        <f>dados_01!B493</f>
        <v>0</v>
      </c>
      <c r="C493" s="3" t="str">
        <f>IFERROR(__xludf.dummyfunction("JOIN("". "", ARRAYFORMULA(IFERROR(LEFT(SPLIT(dados_01!C493, "" ""), 1))))"),"")</f>
        <v/>
      </c>
      <c r="D493" s="3">
        <f>dados_01!D493</f>
        <v>0</v>
      </c>
      <c r="E493" s="3" t="str">
        <f>CONCATENATE(LEFT(dados_01!E493,3),REPT("*",6),RIGHT(dados_01!E493,2))</f>
        <v>******</v>
      </c>
      <c r="F493" s="3">
        <f>dados_01!F493</f>
        <v>0</v>
      </c>
      <c r="G493" s="3">
        <f>dados_01!G493</f>
        <v>0</v>
      </c>
      <c r="H493" s="3">
        <f>dados_01!H493</f>
        <v>0</v>
      </c>
      <c r="I493" s="3">
        <f>dados_01!I493</f>
        <v>0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 spans="1:26">
      <c r="A494" s="3">
        <f>dados_01!A494</f>
        <v>0</v>
      </c>
      <c r="B494" s="3">
        <f>dados_01!B494</f>
        <v>0</v>
      </c>
      <c r="C494" s="3" t="str">
        <f>IFERROR(__xludf.dummyfunction("JOIN("". "", ARRAYFORMULA(IFERROR(LEFT(SPLIT(dados_01!C494, "" ""), 1))))"),"")</f>
        <v/>
      </c>
      <c r="D494" s="3">
        <f>dados_01!D494</f>
        <v>0</v>
      </c>
      <c r="E494" s="3" t="str">
        <f>CONCATENATE(LEFT(dados_01!E494,3),REPT("*",6),RIGHT(dados_01!E494,2))</f>
        <v>******</v>
      </c>
      <c r="F494" s="3">
        <f>dados_01!F494</f>
        <v>0</v>
      </c>
      <c r="G494" s="3">
        <f>dados_01!G494</f>
        <v>0</v>
      </c>
      <c r="H494" s="3">
        <f>dados_01!H494</f>
        <v>0</v>
      </c>
      <c r="I494" s="3">
        <f>dados_01!I494</f>
        <v>0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 spans="1:26">
      <c r="A495" s="3">
        <f>dados_01!A495</f>
        <v>0</v>
      </c>
      <c r="B495" s="3">
        <f>dados_01!B495</f>
        <v>0</v>
      </c>
      <c r="C495" s="3" t="str">
        <f>IFERROR(__xludf.dummyfunction("JOIN("". "", ARRAYFORMULA(IFERROR(LEFT(SPLIT(dados_01!C495, "" ""), 1))))"),"")</f>
        <v/>
      </c>
      <c r="D495" s="3">
        <f>dados_01!D495</f>
        <v>0</v>
      </c>
      <c r="E495" s="3" t="str">
        <f>CONCATENATE(LEFT(dados_01!E495,3),REPT("*",6),RIGHT(dados_01!E495,2))</f>
        <v>******</v>
      </c>
      <c r="F495" s="3">
        <f>dados_01!F495</f>
        <v>0</v>
      </c>
      <c r="G495" s="3">
        <f>dados_01!G495</f>
        <v>0</v>
      </c>
      <c r="H495" s="3">
        <f>dados_01!H495</f>
        <v>0</v>
      </c>
      <c r="I495" s="3">
        <f>dados_01!I495</f>
        <v>0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 spans="1:26">
      <c r="A496" s="3">
        <f>dados_01!A496</f>
        <v>0</v>
      </c>
      <c r="B496" s="3">
        <f>dados_01!B496</f>
        <v>0</v>
      </c>
      <c r="C496" s="3" t="str">
        <f>IFERROR(__xludf.dummyfunction("JOIN("". "", ARRAYFORMULA(IFERROR(LEFT(SPLIT(dados_01!C496, "" ""), 1))))"),"")</f>
        <v/>
      </c>
      <c r="D496" s="3">
        <f>dados_01!D496</f>
        <v>0</v>
      </c>
      <c r="E496" s="3" t="str">
        <f>CONCATENATE(LEFT(dados_01!E496,3),REPT("*",6),RIGHT(dados_01!E496,2))</f>
        <v>******</v>
      </c>
      <c r="F496" s="3">
        <f>dados_01!F496</f>
        <v>0</v>
      </c>
      <c r="G496" s="3">
        <f>dados_01!G496</f>
        <v>0</v>
      </c>
      <c r="H496" s="3">
        <f>dados_01!H496</f>
        <v>0</v>
      </c>
      <c r="I496" s="3">
        <f>dados_01!I496</f>
        <v>0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 spans="1:26">
      <c r="A497" s="3">
        <f>dados_01!A497</f>
        <v>0</v>
      </c>
      <c r="B497" s="3">
        <f>dados_01!B497</f>
        <v>0</v>
      </c>
      <c r="C497" s="3" t="str">
        <f>IFERROR(__xludf.dummyfunction("JOIN("". "", ARRAYFORMULA(IFERROR(LEFT(SPLIT(dados_01!C497, "" ""), 1))))"),"")</f>
        <v/>
      </c>
      <c r="D497" s="3">
        <f>dados_01!D497</f>
        <v>0</v>
      </c>
      <c r="E497" s="3" t="str">
        <f>CONCATENATE(LEFT(dados_01!E497,3),REPT("*",6),RIGHT(dados_01!E497,2))</f>
        <v>******</v>
      </c>
      <c r="F497" s="3">
        <f>dados_01!F497</f>
        <v>0</v>
      </c>
      <c r="G497" s="3">
        <f>dados_01!G497</f>
        <v>0</v>
      </c>
      <c r="H497" s="3">
        <f>dados_01!H497</f>
        <v>0</v>
      </c>
      <c r="I497" s="3">
        <f>dados_01!I497</f>
        <v>0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 spans="1:26">
      <c r="A498" s="3">
        <f>dados_01!A498</f>
        <v>0</v>
      </c>
      <c r="B498" s="3">
        <f>dados_01!B498</f>
        <v>0</v>
      </c>
      <c r="C498" s="3" t="str">
        <f>IFERROR(__xludf.dummyfunction("JOIN("". "", ARRAYFORMULA(IFERROR(LEFT(SPLIT(dados_01!C498, "" ""), 1))))"),"")</f>
        <v/>
      </c>
      <c r="D498" s="3">
        <f>dados_01!D498</f>
        <v>0</v>
      </c>
      <c r="E498" s="3" t="str">
        <f>CONCATENATE(LEFT(dados_01!E498,3),REPT("*",6),RIGHT(dados_01!E498,2))</f>
        <v>******</v>
      </c>
      <c r="F498" s="3">
        <f>dados_01!F498</f>
        <v>0</v>
      </c>
      <c r="G498" s="3">
        <f>dados_01!G498</f>
        <v>0</v>
      </c>
      <c r="H498" s="3">
        <f>dados_01!H498</f>
        <v>0</v>
      </c>
      <c r="I498" s="3">
        <f>dados_01!I498</f>
        <v>0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 spans="1:26">
      <c r="A499" s="3">
        <f>dados_01!A499</f>
        <v>0</v>
      </c>
      <c r="B499" s="3">
        <f>dados_01!B499</f>
        <v>0</v>
      </c>
      <c r="C499" s="3" t="str">
        <f>IFERROR(__xludf.dummyfunction("JOIN("". "", ARRAYFORMULA(IFERROR(LEFT(SPLIT(dados_01!C499, "" ""), 1))))"),"")</f>
        <v/>
      </c>
      <c r="D499" s="3">
        <f>dados_01!D499</f>
        <v>0</v>
      </c>
      <c r="E499" s="3" t="str">
        <f>CONCATENATE(LEFT(dados_01!E499,3),REPT("*",6),RIGHT(dados_01!E499,2))</f>
        <v>******</v>
      </c>
      <c r="F499" s="3">
        <f>dados_01!F499</f>
        <v>0</v>
      </c>
      <c r="G499" s="3">
        <f>dados_01!G499</f>
        <v>0</v>
      </c>
      <c r="H499" s="3">
        <f>dados_01!H499</f>
        <v>0</v>
      </c>
      <c r="I499" s="3">
        <f>dados_01!I499</f>
        <v>0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 spans="1:26">
      <c r="A500" s="3">
        <f>dados_01!A500</f>
        <v>0</v>
      </c>
      <c r="B500" s="3">
        <f>dados_01!B500</f>
        <v>0</v>
      </c>
      <c r="C500" s="3" t="str">
        <f>IFERROR(__xludf.dummyfunction("JOIN("". "", ARRAYFORMULA(IFERROR(LEFT(SPLIT(dados_01!C500, "" ""), 1))))"),"")</f>
        <v/>
      </c>
      <c r="D500" s="3">
        <f>dados_01!D500</f>
        <v>0</v>
      </c>
      <c r="E500" s="3" t="str">
        <f>CONCATENATE(LEFT(dados_01!E500,3),REPT("*",6),RIGHT(dados_01!E500,2))</f>
        <v>******</v>
      </c>
      <c r="F500" s="3">
        <f>dados_01!F500</f>
        <v>0</v>
      </c>
      <c r="G500" s="3">
        <f>dados_01!G500</f>
        <v>0</v>
      </c>
      <c r="H500" s="3">
        <f>dados_01!H500</f>
        <v>0</v>
      </c>
      <c r="I500" s="3">
        <f>dados_01!I500</f>
        <v>0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 spans="1:26">
      <c r="A501" s="3">
        <f>dados_01!A501</f>
        <v>0</v>
      </c>
      <c r="B501" s="3">
        <f>dados_01!B501</f>
        <v>0</v>
      </c>
      <c r="C501" s="3" t="str">
        <f>IFERROR(__xludf.dummyfunction("JOIN("". "", ARRAYFORMULA(IFERROR(LEFT(SPLIT(dados_01!C501, "" ""), 1))))"),"")</f>
        <v/>
      </c>
      <c r="D501" s="3">
        <f>dados_01!D501</f>
        <v>0</v>
      </c>
      <c r="E501" s="3" t="str">
        <f>CONCATENATE(LEFT(dados_01!E501,3),REPT("*",6),RIGHT(dados_01!E501,2))</f>
        <v>******</v>
      </c>
      <c r="F501" s="3">
        <f>dados_01!F501</f>
        <v>0</v>
      </c>
      <c r="G501" s="3">
        <f>dados_01!G501</f>
        <v>0</v>
      </c>
      <c r="H501" s="3">
        <f>dados_01!H501</f>
        <v>0</v>
      </c>
      <c r="I501" s="3">
        <f>dados_01!I501</f>
        <v>0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 spans="1:26">
      <c r="A502" s="3">
        <f>dados_01!A502</f>
        <v>0</v>
      </c>
      <c r="B502" s="3">
        <f>dados_01!B502</f>
        <v>0</v>
      </c>
      <c r="C502" s="3" t="str">
        <f>IFERROR(__xludf.dummyfunction("JOIN("". "", ARRAYFORMULA(IFERROR(LEFT(SPLIT(dados_01!C502, "" ""), 1))))"),"")</f>
        <v/>
      </c>
      <c r="D502" s="3">
        <f>dados_01!D502</f>
        <v>0</v>
      </c>
      <c r="E502" s="3" t="str">
        <f>CONCATENATE(LEFT(dados_01!E502,3),REPT("*",6),RIGHT(dados_01!E502,2))</f>
        <v>******</v>
      </c>
      <c r="F502" s="3">
        <f>dados_01!F502</f>
        <v>0</v>
      </c>
      <c r="G502" s="3">
        <f>dados_01!G502</f>
        <v>0</v>
      </c>
      <c r="H502" s="3">
        <f>dados_01!H502</f>
        <v>0</v>
      </c>
      <c r="I502" s="3">
        <f>dados_01!I502</f>
        <v>0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 spans="1:26">
      <c r="A503" s="3">
        <f>dados_01!A503</f>
        <v>0</v>
      </c>
      <c r="B503" s="3">
        <f>dados_01!B503</f>
        <v>0</v>
      </c>
      <c r="C503" s="3" t="str">
        <f>IFERROR(__xludf.dummyfunction("JOIN("". "", ARRAYFORMULA(IFERROR(LEFT(SPLIT(dados_01!C503, "" ""), 1))))"),"")</f>
        <v/>
      </c>
      <c r="D503" s="3">
        <f>dados_01!D503</f>
        <v>0</v>
      </c>
      <c r="E503" s="3" t="str">
        <f>CONCATENATE(LEFT(dados_01!E503,3),REPT("*",6),RIGHT(dados_01!E503,2))</f>
        <v>******</v>
      </c>
      <c r="F503" s="3">
        <f>dados_01!F503</f>
        <v>0</v>
      </c>
      <c r="G503" s="3">
        <f>dados_01!G503</f>
        <v>0</v>
      </c>
      <c r="H503" s="3">
        <f>dados_01!H503</f>
        <v>0</v>
      </c>
      <c r="I503" s="3">
        <f>dados_01!I503</f>
        <v>0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 spans="1:26">
      <c r="A504" s="3">
        <f>dados_01!A504</f>
        <v>0</v>
      </c>
      <c r="B504" s="3">
        <f>dados_01!B504</f>
        <v>0</v>
      </c>
      <c r="C504" s="3" t="str">
        <f>IFERROR(__xludf.dummyfunction("JOIN("". "", ARRAYFORMULA(IFERROR(LEFT(SPLIT(dados_01!C504, "" ""), 1))))"),"")</f>
        <v/>
      </c>
      <c r="D504" s="3">
        <f>dados_01!D504</f>
        <v>0</v>
      </c>
      <c r="E504" s="3" t="str">
        <f>CONCATENATE(LEFT(dados_01!E504,3),REPT("*",6),RIGHT(dados_01!E504,2))</f>
        <v>******</v>
      </c>
      <c r="F504" s="3">
        <f>dados_01!F504</f>
        <v>0</v>
      </c>
      <c r="G504" s="3">
        <f>dados_01!G504</f>
        <v>0</v>
      </c>
      <c r="H504" s="3">
        <f>dados_01!H504</f>
        <v>0</v>
      </c>
      <c r="I504" s="3">
        <f>dados_01!I504</f>
        <v>0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 spans="1:26">
      <c r="A505" s="3">
        <f>dados_01!A505</f>
        <v>0</v>
      </c>
      <c r="B505" s="3">
        <f>dados_01!B505</f>
        <v>0</v>
      </c>
      <c r="C505" s="3" t="str">
        <f>IFERROR(__xludf.dummyfunction("JOIN("". "", ARRAYFORMULA(IFERROR(LEFT(SPLIT(dados_01!C505, "" ""), 1))))"),"")</f>
        <v/>
      </c>
      <c r="D505" s="3">
        <f>dados_01!D505</f>
        <v>0</v>
      </c>
      <c r="E505" s="3" t="str">
        <f>CONCATENATE(LEFT(dados_01!E505,3),REPT("*",6),RIGHT(dados_01!E505,2))</f>
        <v>******</v>
      </c>
      <c r="F505" s="3">
        <f>dados_01!F505</f>
        <v>0</v>
      </c>
      <c r="G505" s="3">
        <f>dados_01!G505</f>
        <v>0</v>
      </c>
      <c r="H505" s="3">
        <f>dados_01!H505</f>
        <v>0</v>
      </c>
      <c r="I505" s="3">
        <f>dados_01!I505</f>
        <v>0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 spans="1:26">
      <c r="A506" s="3">
        <f>dados_01!A506</f>
        <v>0</v>
      </c>
      <c r="B506" s="3">
        <f>dados_01!B506</f>
        <v>0</v>
      </c>
      <c r="C506" s="3" t="str">
        <f>IFERROR(__xludf.dummyfunction("JOIN("". "", ARRAYFORMULA(IFERROR(LEFT(SPLIT(dados_01!C506, "" ""), 1))))"),"")</f>
        <v/>
      </c>
      <c r="D506" s="3">
        <f>dados_01!D506</f>
        <v>0</v>
      </c>
      <c r="E506" s="3" t="str">
        <f>CONCATENATE(LEFT(dados_01!E506,3),REPT("*",6),RIGHT(dados_01!E506,2))</f>
        <v>******</v>
      </c>
      <c r="F506" s="3">
        <f>dados_01!F506</f>
        <v>0</v>
      </c>
      <c r="G506" s="3">
        <f>dados_01!G506</f>
        <v>0</v>
      </c>
      <c r="H506" s="3">
        <f>dados_01!H506</f>
        <v>0</v>
      </c>
      <c r="I506" s="3">
        <f>dados_01!I506</f>
        <v>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 spans="1:26">
      <c r="A507" s="3">
        <f>dados_01!A507</f>
        <v>0</v>
      </c>
      <c r="B507" s="3">
        <f>dados_01!B507</f>
        <v>0</v>
      </c>
      <c r="C507" s="3" t="str">
        <f>IFERROR(__xludf.dummyfunction("JOIN("". "", ARRAYFORMULA(IFERROR(LEFT(SPLIT(dados_01!C507, "" ""), 1))))"),"")</f>
        <v/>
      </c>
      <c r="D507" s="3">
        <f>dados_01!D507</f>
        <v>0</v>
      </c>
      <c r="E507" s="3" t="str">
        <f>CONCATENATE(LEFT(dados_01!E507,3),REPT("*",6),RIGHT(dados_01!E507,2))</f>
        <v>******</v>
      </c>
      <c r="F507" s="3">
        <f>dados_01!F507</f>
        <v>0</v>
      </c>
      <c r="G507" s="3">
        <f>dados_01!G507</f>
        <v>0</v>
      </c>
      <c r="H507" s="3">
        <f>dados_01!H507</f>
        <v>0</v>
      </c>
      <c r="I507" s="3">
        <f>dados_01!I507</f>
        <v>0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 spans="1:26">
      <c r="A508" s="3">
        <f>dados_01!A508</f>
        <v>0</v>
      </c>
      <c r="B508" s="3">
        <f>dados_01!B508</f>
        <v>0</v>
      </c>
      <c r="C508" s="3" t="str">
        <f>IFERROR(__xludf.dummyfunction("JOIN("". "", ARRAYFORMULA(IFERROR(LEFT(SPLIT(dados_01!C508, "" ""), 1))))"),"")</f>
        <v/>
      </c>
      <c r="D508" s="3">
        <f>dados_01!D508</f>
        <v>0</v>
      </c>
      <c r="E508" s="3" t="str">
        <f>CONCATENATE(LEFT(dados_01!E508,3),REPT("*",6),RIGHT(dados_01!E508,2))</f>
        <v>******</v>
      </c>
      <c r="F508" s="3">
        <f>dados_01!F508</f>
        <v>0</v>
      </c>
      <c r="G508" s="3">
        <f>dados_01!G508</f>
        <v>0</v>
      </c>
      <c r="H508" s="3">
        <f>dados_01!H508</f>
        <v>0</v>
      </c>
      <c r="I508" s="3">
        <f>dados_01!I508</f>
        <v>0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 spans="1:26">
      <c r="A509" s="3">
        <f>dados_01!A509</f>
        <v>0</v>
      </c>
      <c r="B509" s="3">
        <f>dados_01!B509</f>
        <v>0</v>
      </c>
      <c r="C509" s="3" t="str">
        <f>IFERROR(__xludf.dummyfunction("JOIN("". "", ARRAYFORMULA(IFERROR(LEFT(SPLIT(dados_01!C509, "" ""), 1))))"),"")</f>
        <v/>
      </c>
      <c r="D509" s="3">
        <f>dados_01!D509</f>
        <v>0</v>
      </c>
      <c r="E509" s="3" t="str">
        <f>CONCATENATE(LEFT(dados_01!E509,3),REPT("*",6),RIGHT(dados_01!E509,2))</f>
        <v>******</v>
      </c>
      <c r="F509" s="3">
        <f>dados_01!F509</f>
        <v>0</v>
      </c>
      <c r="G509" s="3">
        <f>dados_01!G509</f>
        <v>0</v>
      </c>
      <c r="H509" s="3">
        <f>dados_01!H509</f>
        <v>0</v>
      </c>
      <c r="I509" s="3">
        <f>dados_01!I509</f>
        <v>0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 spans="1:26">
      <c r="A510" s="3">
        <f>dados_01!A510</f>
        <v>0</v>
      </c>
      <c r="B510" s="3">
        <f>dados_01!B510</f>
        <v>0</v>
      </c>
      <c r="C510" s="3" t="str">
        <f>IFERROR(__xludf.dummyfunction("JOIN("". "", ARRAYFORMULA(IFERROR(LEFT(SPLIT(dados_01!C510, "" ""), 1))))"),"")</f>
        <v/>
      </c>
      <c r="D510" s="3">
        <f>dados_01!D510</f>
        <v>0</v>
      </c>
      <c r="E510" s="3" t="str">
        <f>CONCATENATE(LEFT(dados_01!E510,3),REPT("*",6),RIGHT(dados_01!E510,2))</f>
        <v>******</v>
      </c>
      <c r="F510" s="3">
        <f>dados_01!F510</f>
        <v>0</v>
      </c>
      <c r="G510" s="3">
        <f>dados_01!G510</f>
        <v>0</v>
      </c>
      <c r="H510" s="3">
        <f>dados_01!H510</f>
        <v>0</v>
      </c>
      <c r="I510" s="3">
        <f>dados_01!I510</f>
        <v>0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 spans="1:26">
      <c r="A511" s="3">
        <f>dados_01!A511</f>
        <v>0</v>
      </c>
      <c r="B511" s="3">
        <f>dados_01!B511</f>
        <v>0</v>
      </c>
      <c r="C511" s="3" t="str">
        <f>IFERROR(__xludf.dummyfunction("JOIN("". "", ARRAYFORMULA(IFERROR(LEFT(SPLIT(dados_01!C511, "" ""), 1))))"),"")</f>
        <v/>
      </c>
      <c r="D511" s="3">
        <f>dados_01!D511</f>
        <v>0</v>
      </c>
      <c r="E511" s="3" t="str">
        <f>CONCATENATE(LEFT(dados_01!E511,3),REPT("*",6),RIGHT(dados_01!E511,2))</f>
        <v>******</v>
      </c>
      <c r="F511" s="3">
        <f>dados_01!F511</f>
        <v>0</v>
      </c>
      <c r="G511" s="3">
        <f>dados_01!G511</f>
        <v>0</v>
      </c>
      <c r="H511" s="3">
        <f>dados_01!H511</f>
        <v>0</v>
      </c>
      <c r="I511" s="3">
        <f>dados_01!I511</f>
        <v>0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 spans="1:26">
      <c r="A512" s="3">
        <f>dados_01!A512</f>
        <v>0</v>
      </c>
      <c r="B512" s="3">
        <f>dados_01!B512</f>
        <v>0</v>
      </c>
      <c r="C512" s="3" t="str">
        <f>IFERROR(__xludf.dummyfunction("JOIN("". "", ARRAYFORMULA(IFERROR(LEFT(SPLIT(dados_01!C512, "" ""), 1))))"),"")</f>
        <v/>
      </c>
      <c r="D512" s="3">
        <f>dados_01!D512</f>
        <v>0</v>
      </c>
      <c r="E512" s="3" t="str">
        <f>CONCATENATE(LEFT(dados_01!E512,3),REPT("*",6),RIGHT(dados_01!E512,2))</f>
        <v>******</v>
      </c>
      <c r="F512" s="3">
        <f>dados_01!F512</f>
        <v>0</v>
      </c>
      <c r="G512" s="3">
        <f>dados_01!G512</f>
        <v>0</v>
      </c>
      <c r="H512" s="3">
        <f>dados_01!H512</f>
        <v>0</v>
      </c>
      <c r="I512" s="3">
        <f>dados_01!I512</f>
        <v>0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 spans="1:26">
      <c r="A513" s="3">
        <f>dados_01!A513</f>
        <v>0</v>
      </c>
      <c r="B513" s="3">
        <f>dados_01!B513</f>
        <v>0</v>
      </c>
      <c r="C513" s="3" t="str">
        <f>IFERROR(__xludf.dummyfunction("JOIN("". "", ARRAYFORMULA(IFERROR(LEFT(SPLIT(dados_01!C513, "" ""), 1))))"),"")</f>
        <v/>
      </c>
      <c r="D513" s="3">
        <f>dados_01!D513</f>
        <v>0</v>
      </c>
      <c r="E513" s="3" t="str">
        <f>CONCATENATE(LEFT(dados_01!E513,3),REPT("*",6),RIGHT(dados_01!E513,2))</f>
        <v>******</v>
      </c>
      <c r="F513" s="3">
        <f>dados_01!F513</f>
        <v>0</v>
      </c>
      <c r="G513" s="3">
        <f>dados_01!G513</f>
        <v>0</v>
      </c>
      <c r="H513" s="3">
        <f>dados_01!H513</f>
        <v>0</v>
      </c>
      <c r="I513" s="3">
        <f>dados_01!I513</f>
        <v>0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 spans="1:26">
      <c r="A514" s="3">
        <f>dados_01!A514</f>
        <v>0</v>
      </c>
      <c r="B514" s="3">
        <f>dados_01!B514</f>
        <v>0</v>
      </c>
      <c r="C514" s="3" t="str">
        <f>IFERROR(__xludf.dummyfunction("JOIN("". "", ARRAYFORMULA(IFERROR(LEFT(SPLIT(dados_01!C514, "" ""), 1))))"),"")</f>
        <v/>
      </c>
      <c r="D514" s="3">
        <f>dados_01!D514</f>
        <v>0</v>
      </c>
      <c r="E514" s="3" t="str">
        <f>CONCATENATE(LEFT(dados_01!E514,3),REPT("*",6),RIGHT(dados_01!E514,2))</f>
        <v>******</v>
      </c>
      <c r="F514" s="3">
        <f>dados_01!F514</f>
        <v>0</v>
      </c>
      <c r="G514" s="3">
        <f>dados_01!G514</f>
        <v>0</v>
      </c>
      <c r="H514" s="3">
        <f>dados_01!H514</f>
        <v>0</v>
      </c>
      <c r="I514" s="3">
        <f>dados_01!I514</f>
        <v>0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 spans="1:26">
      <c r="A515" s="3">
        <f>dados_01!A515</f>
        <v>0</v>
      </c>
      <c r="B515" s="3">
        <f>dados_01!B515</f>
        <v>0</v>
      </c>
      <c r="C515" s="3" t="str">
        <f>IFERROR(__xludf.dummyfunction("JOIN("". "", ARRAYFORMULA(IFERROR(LEFT(SPLIT(dados_01!C515, "" ""), 1))))"),"")</f>
        <v/>
      </c>
      <c r="D515" s="3">
        <f>dados_01!D515</f>
        <v>0</v>
      </c>
      <c r="E515" s="3" t="str">
        <f>CONCATENATE(LEFT(dados_01!E515,3),REPT("*",6),RIGHT(dados_01!E515,2))</f>
        <v>******</v>
      </c>
      <c r="F515" s="3">
        <f>dados_01!F515</f>
        <v>0</v>
      </c>
      <c r="G515" s="3">
        <f>dados_01!G515</f>
        <v>0</v>
      </c>
      <c r="H515" s="3">
        <f>dados_01!H515</f>
        <v>0</v>
      </c>
      <c r="I515" s="3">
        <f>dados_01!I515</f>
        <v>0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 spans="1:26">
      <c r="A516" s="3">
        <f>dados_01!A516</f>
        <v>0</v>
      </c>
      <c r="B516" s="3">
        <f>dados_01!B516</f>
        <v>0</v>
      </c>
      <c r="C516" s="3" t="str">
        <f>IFERROR(__xludf.dummyfunction("JOIN("". "", ARRAYFORMULA(IFERROR(LEFT(SPLIT(dados_01!C516, "" ""), 1))))"),"")</f>
        <v/>
      </c>
      <c r="D516" s="3">
        <f>dados_01!D516</f>
        <v>0</v>
      </c>
      <c r="E516" s="3" t="str">
        <f>CONCATENATE(LEFT(dados_01!E516,3),REPT("*",6),RIGHT(dados_01!E516,2))</f>
        <v>******</v>
      </c>
      <c r="F516" s="3">
        <f>dados_01!F516</f>
        <v>0</v>
      </c>
      <c r="G516" s="3">
        <f>dados_01!G516</f>
        <v>0</v>
      </c>
      <c r="H516" s="3">
        <f>dados_01!H516</f>
        <v>0</v>
      </c>
      <c r="I516" s="3">
        <f>dados_01!I516</f>
        <v>0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 spans="1:26">
      <c r="A517" s="3">
        <f>dados_01!A517</f>
        <v>0</v>
      </c>
      <c r="B517" s="3">
        <f>dados_01!B517</f>
        <v>0</v>
      </c>
      <c r="C517" s="3" t="str">
        <f>IFERROR(__xludf.dummyfunction("JOIN("". "", ARRAYFORMULA(IFERROR(LEFT(SPLIT(dados_01!C517, "" ""), 1))))"),"")</f>
        <v/>
      </c>
      <c r="D517" s="3">
        <f>dados_01!D517</f>
        <v>0</v>
      </c>
      <c r="E517" s="3" t="str">
        <f>CONCATENATE(LEFT(dados_01!E517,3),REPT("*",6),RIGHT(dados_01!E517,2))</f>
        <v>******</v>
      </c>
      <c r="F517" s="3">
        <f>dados_01!F517</f>
        <v>0</v>
      </c>
      <c r="G517" s="3">
        <f>dados_01!G517</f>
        <v>0</v>
      </c>
      <c r="H517" s="3">
        <f>dados_01!H517</f>
        <v>0</v>
      </c>
      <c r="I517" s="3">
        <f>dados_01!I517</f>
        <v>0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 spans="1:26">
      <c r="A518" s="3">
        <f>dados_01!A518</f>
        <v>0</v>
      </c>
      <c r="B518" s="3">
        <f>dados_01!B518</f>
        <v>0</v>
      </c>
      <c r="C518" s="3" t="str">
        <f>IFERROR(__xludf.dummyfunction("JOIN("". "", ARRAYFORMULA(IFERROR(LEFT(SPLIT(dados_01!C518, "" ""), 1))))"),"")</f>
        <v/>
      </c>
      <c r="D518" s="3">
        <f>dados_01!D518</f>
        <v>0</v>
      </c>
      <c r="E518" s="3" t="str">
        <f>CONCATENATE(LEFT(dados_01!E518,3),REPT("*",6),RIGHT(dados_01!E518,2))</f>
        <v>******</v>
      </c>
      <c r="F518" s="3">
        <f>dados_01!F518</f>
        <v>0</v>
      </c>
      <c r="G518" s="3">
        <f>dados_01!G518</f>
        <v>0</v>
      </c>
      <c r="H518" s="3">
        <f>dados_01!H518</f>
        <v>0</v>
      </c>
      <c r="I518" s="3">
        <f>dados_01!I518</f>
        <v>0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 spans="1:26">
      <c r="A519" s="3">
        <f>dados_01!A519</f>
        <v>0</v>
      </c>
      <c r="B519" s="3">
        <f>dados_01!B519</f>
        <v>0</v>
      </c>
      <c r="C519" s="3" t="str">
        <f>IFERROR(__xludf.dummyfunction("JOIN("". "", ARRAYFORMULA(IFERROR(LEFT(SPLIT(dados_01!C519, "" ""), 1))))"),"")</f>
        <v/>
      </c>
      <c r="D519" s="3">
        <f>dados_01!D519</f>
        <v>0</v>
      </c>
      <c r="E519" s="3" t="str">
        <f>CONCATENATE(LEFT(dados_01!E519,3),REPT("*",6),RIGHT(dados_01!E519,2))</f>
        <v>******</v>
      </c>
      <c r="F519" s="3">
        <f>dados_01!F519</f>
        <v>0</v>
      </c>
      <c r="G519" s="3">
        <f>dados_01!G519</f>
        <v>0</v>
      </c>
      <c r="H519" s="3">
        <f>dados_01!H519</f>
        <v>0</v>
      </c>
      <c r="I519" s="3">
        <f>dados_01!I519</f>
        <v>0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 spans="1:26">
      <c r="A520" s="3">
        <f>dados_01!A520</f>
        <v>0</v>
      </c>
      <c r="B520" s="3">
        <f>dados_01!B520</f>
        <v>0</v>
      </c>
      <c r="C520" s="3" t="str">
        <f>IFERROR(__xludf.dummyfunction("JOIN("". "", ARRAYFORMULA(IFERROR(LEFT(SPLIT(dados_01!C520, "" ""), 1))))"),"")</f>
        <v/>
      </c>
      <c r="D520" s="3">
        <f>dados_01!D520</f>
        <v>0</v>
      </c>
      <c r="E520" s="3" t="str">
        <f>CONCATENATE(LEFT(dados_01!E520,3),REPT("*",6),RIGHT(dados_01!E520,2))</f>
        <v>******</v>
      </c>
      <c r="F520" s="3">
        <f>dados_01!F520</f>
        <v>0</v>
      </c>
      <c r="G520" s="3">
        <f>dados_01!G520</f>
        <v>0</v>
      </c>
      <c r="H520" s="3">
        <f>dados_01!H520</f>
        <v>0</v>
      </c>
      <c r="I520" s="3">
        <f>dados_01!I520</f>
        <v>0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 spans="1:26">
      <c r="A521" s="3">
        <f>dados_01!A521</f>
        <v>0</v>
      </c>
      <c r="B521" s="3">
        <f>dados_01!B521</f>
        <v>0</v>
      </c>
      <c r="C521" s="3" t="str">
        <f>IFERROR(__xludf.dummyfunction("JOIN("". "", ARRAYFORMULA(IFERROR(LEFT(SPLIT(dados_01!C521, "" ""), 1))))"),"")</f>
        <v/>
      </c>
      <c r="D521" s="3">
        <f>dados_01!D521</f>
        <v>0</v>
      </c>
      <c r="E521" s="3" t="str">
        <f>CONCATENATE(LEFT(dados_01!E521,3),REPT("*",6),RIGHT(dados_01!E521,2))</f>
        <v>******</v>
      </c>
      <c r="F521" s="3">
        <f>dados_01!F521</f>
        <v>0</v>
      </c>
      <c r="G521" s="3">
        <f>dados_01!G521</f>
        <v>0</v>
      </c>
      <c r="H521" s="3">
        <f>dados_01!H521</f>
        <v>0</v>
      </c>
      <c r="I521" s="3">
        <f>dados_01!I521</f>
        <v>0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 spans="1:26">
      <c r="A522" s="3">
        <f>dados_01!A522</f>
        <v>0</v>
      </c>
      <c r="B522" s="3">
        <f>dados_01!B522</f>
        <v>0</v>
      </c>
      <c r="C522" s="3" t="str">
        <f>IFERROR(__xludf.dummyfunction("JOIN("". "", ARRAYFORMULA(IFERROR(LEFT(SPLIT(dados_01!C522, "" ""), 1))))"),"")</f>
        <v/>
      </c>
      <c r="D522" s="3">
        <f>dados_01!D522</f>
        <v>0</v>
      </c>
      <c r="E522" s="3" t="str">
        <f>CONCATENATE(LEFT(dados_01!E522,3),REPT("*",6),RIGHT(dados_01!E522,2))</f>
        <v>******</v>
      </c>
      <c r="F522" s="3">
        <f>dados_01!F522</f>
        <v>0</v>
      </c>
      <c r="G522" s="3">
        <f>dados_01!G522</f>
        <v>0</v>
      </c>
      <c r="H522" s="3">
        <f>dados_01!H522</f>
        <v>0</v>
      </c>
      <c r="I522" s="3">
        <f>dados_01!I522</f>
        <v>0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 spans="1:26">
      <c r="A523" s="3">
        <f>dados_01!A523</f>
        <v>0</v>
      </c>
      <c r="B523" s="3">
        <f>dados_01!B523</f>
        <v>0</v>
      </c>
      <c r="C523" s="3" t="str">
        <f>IFERROR(__xludf.dummyfunction("JOIN("". "", ARRAYFORMULA(IFERROR(LEFT(SPLIT(dados_01!C523, "" ""), 1))))"),"")</f>
        <v/>
      </c>
      <c r="D523" s="3">
        <f>dados_01!D523</f>
        <v>0</v>
      </c>
      <c r="E523" s="3" t="str">
        <f>CONCATENATE(LEFT(dados_01!E523,3),REPT("*",6),RIGHT(dados_01!E523,2))</f>
        <v>******</v>
      </c>
      <c r="F523" s="3">
        <f>dados_01!F523</f>
        <v>0</v>
      </c>
      <c r="G523" s="3">
        <f>dados_01!G523</f>
        <v>0</v>
      </c>
      <c r="H523" s="3">
        <f>dados_01!H523</f>
        <v>0</v>
      </c>
      <c r="I523" s="3">
        <f>dados_01!I523</f>
        <v>0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 spans="1:26">
      <c r="A524" s="3">
        <f>dados_01!A524</f>
        <v>0</v>
      </c>
      <c r="B524" s="3">
        <f>dados_01!B524</f>
        <v>0</v>
      </c>
      <c r="C524" s="3" t="str">
        <f>IFERROR(__xludf.dummyfunction("JOIN("". "", ARRAYFORMULA(IFERROR(LEFT(SPLIT(dados_01!C524, "" ""), 1))))"),"")</f>
        <v/>
      </c>
      <c r="D524" s="3">
        <f>dados_01!D524</f>
        <v>0</v>
      </c>
      <c r="E524" s="3" t="str">
        <f>CONCATENATE(LEFT(dados_01!E524,3),REPT("*",6),RIGHT(dados_01!E524,2))</f>
        <v>******</v>
      </c>
      <c r="F524" s="3">
        <f>dados_01!F524</f>
        <v>0</v>
      </c>
      <c r="G524" s="3">
        <f>dados_01!G524</f>
        <v>0</v>
      </c>
      <c r="H524" s="3">
        <f>dados_01!H524</f>
        <v>0</v>
      </c>
      <c r="I524" s="3">
        <f>dados_01!I524</f>
        <v>0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 spans="1:26">
      <c r="A525" s="3">
        <f>dados_01!A525</f>
        <v>0</v>
      </c>
      <c r="B525" s="3">
        <f>dados_01!B525</f>
        <v>0</v>
      </c>
      <c r="C525" s="3" t="str">
        <f>IFERROR(__xludf.dummyfunction("JOIN("". "", ARRAYFORMULA(IFERROR(LEFT(SPLIT(dados_01!C525, "" ""), 1))))"),"")</f>
        <v/>
      </c>
      <c r="D525" s="3">
        <f>dados_01!D525</f>
        <v>0</v>
      </c>
      <c r="E525" s="3" t="str">
        <f>CONCATENATE(LEFT(dados_01!E525,3),REPT("*",6),RIGHT(dados_01!E525,2))</f>
        <v>******</v>
      </c>
      <c r="F525" s="3">
        <f>dados_01!F525</f>
        <v>0</v>
      </c>
      <c r="G525" s="3">
        <f>dados_01!G525</f>
        <v>0</v>
      </c>
      <c r="H525" s="3">
        <f>dados_01!H525</f>
        <v>0</v>
      </c>
      <c r="I525" s="3">
        <f>dados_01!I525</f>
        <v>0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 spans="1:26">
      <c r="A526" s="3">
        <f>dados_01!A526</f>
        <v>0</v>
      </c>
      <c r="B526" s="3">
        <f>dados_01!B526</f>
        <v>0</v>
      </c>
      <c r="C526" s="3" t="str">
        <f>IFERROR(__xludf.dummyfunction("JOIN("". "", ARRAYFORMULA(IFERROR(LEFT(SPLIT(dados_01!C526, "" ""), 1))))"),"")</f>
        <v/>
      </c>
      <c r="D526" s="3">
        <f>dados_01!D526</f>
        <v>0</v>
      </c>
      <c r="E526" s="3" t="str">
        <f>CONCATENATE(LEFT(dados_01!E526,3),REPT("*",6),RIGHT(dados_01!E526,2))</f>
        <v>******</v>
      </c>
      <c r="F526" s="3">
        <f>dados_01!F526</f>
        <v>0</v>
      </c>
      <c r="G526" s="3">
        <f>dados_01!G526</f>
        <v>0</v>
      </c>
      <c r="H526" s="3">
        <f>dados_01!H526</f>
        <v>0</v>
      </c>
      <c r="I526" s="3">
        <f>dados_01!I526</f>
        <v>0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 spans="1:26">
      <c r="A527" s="3">
        <f>dados_01!A527</f>
        <v>0</v>
      </c>
      <c r="B527" s="3">
        <f>dados_01!B527</f>
        <v>0</v>
      </c>
      <c r="C527" s="3" t="str">
        <f>IFERROR(__xludf.dummyfunction("JOIN("". "", ARRAYFORMULA(IFERROR(LEFT(SPLIT(dados_01!C527, "" ""), 1))))"),"")</f>
        <v/>
      </c>
      <c r="D527" s="3">
        <f>dados_01!D527</f>
        <v>0</v>
      </c>
      <c r="E527" s="3" t="str">
        <f>CONCATENATE(LEFT(dados_01!E527,3),REPT("*",6),RIGHT(dados_01!E527,2))</f>
        <v>******</v>
      </c>
      <c r="F527" s="3">
        <f>dados_01!F527</f>
        <v>0</v>
      </c>
      <c r="G527" s="3">
        <f>dados_01!G527</f>
        <v>0</v>
      </c>
      <c r="H527" s="3">
        <f>dados_01!H527</f>
        <v>0</v>
      </c>
      <c r="I527" s="3">
        <f>dados_01!I527</f>
        <v>0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 spans="1:26">
      <c r="A528" s="3">
        <f>dados_01!A528</f>
        <v>0</v>
      </c>
      <c r="B528" s="3">
        <f>dados_01!B528</f>
        <v>0</v>
      </c>
      <c r="C528" s="3" t="str">
        <f>IFERROR(__xludf.dummyfunction("JOIN("". "", ARRAYFORMULA(IFERROR(LEFT(SPLIT(dados_01!C528, "" ""), 1))))"),"")</f>
        <v/>
      </c>
      <c r="D528" s="3">
        <f>dados_01!D528</f>
        <v>0</v>
      </c>
      <c r="E528" s="3" t="str">
        <f>CONCATENATE(LEFT(dados_01!E528,3),REPT("*",6),RIGHT(dados_01!E528,2))</f>
        <v>******</v>
      </c>
      <c r="F528" s="3">
        <f>dados_01!F528</f>
        <v>0</v>
      </c>
      <c r="G528" s="3">
        <f>dados_01!G528</f>
        <v>0</v>
      </c>
      <c r="H528" s="3">
        <f>dados_01!H528</f>
        <v>0</v>
      </c>
      <c r="I528" s="3">
        <f>dados_01!I528</f>
        <v>0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 spans="1:26">
      <c r="A529" s="3">
        <f>dados_01!A529</f>
        <v>0</v>
      </c>
      <c r="B529" s="3">
        <f>dados_01!B529</f>
        <v>0</v>
      </c>
      <c r="C529" s="3" t="str">
        <f>IFERROR(__xludf.dummyfunction("JOIN("". "", ARRAYFORMULA(IFERROR(LEFT(SPLIT(dados_01!C529, "" ""), 1))))"),"")</f>
        <v/>
      </c>
      <c r="D529" s="3">
        <f>dados_01!D529</f>
        <v>0</v>
      </c>
      <c r="E529" s="3" t="str">
        <f>CONCATENATE(LEFT(dados_01!E529,3),REPT("*",6),RIGHT(dados_01!E529,2))</f>
        <v>******</v>
      </c>
      <c r="F529" s="3">
        <f>dados_01!F529</f>
        <v>0</v>
      </c>
      <c r="G529" s="3">
        <f>dados_01!G529</f>
        <v>0</v>
      </c>
      <c r="H529" s="3">
        <f>dados_01!H529</f>
        <v>0</v>
      </c>
      <c r="I529" s="3">
        <f>dados_01!I529</f>
        <v>0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 spans="1:26">
      <c r="A530" s="3">
        <f>dados_01!A530</f>
        <v>0</v>
      </c>
      <c r="B530" s="3">
        <f>dados_01!B530</f>
        <v>0</v>
      </c>
      <c r="C530" s="3" t="str">
        <f>IFERROR(__xludf.dummyfunction("JOIN("". "", ARRAYFORMULA(IFERROR(LEFT(SPLIT(dados_01!C530, "" ""), 1))))"),"")</f>
        <v/>
      </c>
      <c r="D530" s="3">
        <f>dados_01!D530</f>
        <v>0</v>
      </c>
      <c r="E530" s="3" t="str">
        <f>CONCATENATE(LEFT(dados_01!E530,3),REPT("*",6),RIGHT(dados_01!E530,2))</f>
        <v>******</v>
      </c>
      <c r="F530" s="3">
        <f>dados_01!F530</f>
        <v>0</v>
      </c>
      <c r="G530" s="3">
        <f>dados_01!G530</f>
        <v>0</v>
      </c>
      <c r="H530" s="3">
        <f>dados_01!H530</f>
        <v>0</v>
      </c>
      <c r="I530" s="3">
        <f>dados_01!I530</f>
        <v>0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 spans="1:26">
      <c r="A531" s="3">
        <f>dados_01!A531</f>
        <v>0</v>
      </c>
      <c r="B531" s="3">
        <f>dados_01!B531</f>
        <v>0</v>
      </c>
      <c r="C531" s="3" t="str">
        <f>IFERROR(__xludf.dummyfunction("JOIN("". "", ARRAYFORMULA(IFERROR(LEFT(SPLIT(dados_01!C531, "" ""), 1))))"),"")</f>
        <v/>
      </c>
      <c r="D531" s="3">
        <f>dados_01!D531</f>
        <v>0</v>
      </c>
      <c r="E531" s="3" t="str">
        <f>CONCATENATE(LEFT(dados_01!E531,3),REPT("*",6),RIGHT(dados_01!E531,2))</f>
        <v>******</v>
      </c>
      <c r="F531" s="3">
        <f>dados_01!F531</f>
        <v>0</v>
      </c>
      <c r="G531" s="3">
        <f>dados_01!G531</f>
        <v>0</v>
      </c>
      <c r="H531" s="3">
        <f>dados_01!H531</f>
        <v>0</v>
      </c>
      <c r="I531" s="3">
        <f>dados_01!I531</f>
        <v>0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 spans="1:26">
      <c r="A532" s="3">
        <f>dados_01!A532</f>
        <v>0</v>
      </c>
      <c r="B532" s="3">
        <f>dados_01!B532</f>
        <v>0</v>
      </c>
      <c r="C532" s="3" t="str">
        <f>IFERROR(__xludf.dummyfunction("JOIN("". "", ARRAYFORMULA(IFERROR(LEFT(SPLIT(dados_01!C532, "" ""), 1))))"),"")</f>
        <v/>
      </c>
      <c r="D532" s="3">
        <f>dados_01!D532</f>
        <v>0</v>
      </c>
      <c r="E532" s="3" t="str">
        <f>CONCATENATE(LEFT(dados_01!E532,3),REPT("*",6),RIGHT(dados_01!E532,2))</f>
        <v>******</v>
      </c>
      <c r="F532" s="3">
        <f>dados_01!F532</f>
        <v>0</v>
      </c>
      <c r="G532" s="3">
        <f>dados_01!G532</f>
        <v>0</v>
      </c>
      <c r="H532" s="3">
        <f>dados_01!H532</f>
        <v>0</v>
      </c>
      <c r="I532" s="3">
        <f>dados_01!I532</f>
        <v>0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 spans="1:26">
      <c r="A533" s="3">
        <f>dados_01!A533</f>
        <v>0</v>
      </c>
      <c r="B533" s="3">
        <f>dados_01!B533</f>
        <v>0</v>
      </c>
      <c r="C533" s="3" t="str">
        <f>IFERROR(__xludf.dummyfunction("JOIN("". "", ARRAYFORMULA(IFERROR(LEFT(SPLIT(dados_01!C533, "" ""), 1))))"),"")</f>
        <v/>
      </c>
      <c r="D533" s="3">
        <f>dados_01!D533</f>
        <v>0</v>
      </c>
      <c r="E533" s="3" t="str">
        <f>CONCATENATE(LEFT(dados_01!E533,3),REPT("*",6),RIGHT(dados_01!E533,2))</f>
        <v>******</v>
      </c>
      <c r="F533" s="3">
        <f>dados_01!F533</f>
        <v>0</v>
      </c>
      <c r="G533" s="3">
        <f>dados_01!G533</f>
        <v>0</v>
      </c>
      <c r="H533" s="3">
        <f>dados_01!H533</f>
        <v>0</v>
      </c>
      <c r="I533" s="3">
        <f>dados_01!I533</f>
        <v>0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 spans="1:26">
      <c r="A534" s="3">
        <f>dados_01!A534</f>
        <v>0</v>
      </c>
      <c r="B534" s="3">
        <f>dados_01!B534</f>
        <v>0</v>
      </c>
      <c r="C534" s="3" t="str">
        <f>IFERROR(__xludf.dummyfunction("JOIN("". "", ARRAYFORMULA(IFERROR(LEFT(SPLIT(dados_01!C534, "" ""), 1))))"),"")</f>
        <v/>
      </c>
      <c r="D534" s="3">
        <f>dados_01!D534</f>
        <v>0</v>
      </c>
      <c r="E534" s="3" t="str">
        <f>CONCATENATE(LEFT(dados_01!E534,3),REPT("*",6),RIGHT(dados_01!E534,2))</f>
        <v>******</v>
      </c>
      <c r="F534" s="3">
        <f>dados_01!F534</f>
        <v>0</v>
      </c>
      <c r="G534" s="3">
        <f>dados_01!G534</f>
        <v>0</v>
      </c>
      <c r="H534" s="3">
        <f>dados_01!H534</f>
        <v>0</v>
      </c>
      <c r="I534" s="3">
        <f>dados_01!I534</f>
        <v>0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 spans="1:26">
      <c r="A535" s="3">
        <f>dados_01!A535</f>
        <v>0</v>
      </c>
      <c r="B535" s="3">
        <f>dados_01!B535</f>
        <v>0</v>
      </c>
      <c r="C535" s="3" t="str">
        <f>IFERROR(__xludf.dummyfunction("JOIN("". "", ARRAYFORMULA(IFERROR(LEFT(SPLIT(dados_01!C535, "" ""), 1))))"),"")</f>
        <v/>
      </c>
      <c r="D535" s="3">
        <f>dados_01!D535</f>
        <v>0</v>
      </c>
      <c r="E535" s="3" t="str">
        <f>CONCATENATE(LEFT(dados_01!E535,3),REPT("*",6),RIGHT(dados_01!E535,2))</f>
        <v>******</v>
      </c>
      <c r="F535" s="3">
        <f>dados_01!F535</f>
        <v>0</v>
      </c>
      <c r="G535" s="3">
        <f>dados_01!G535</f>
        <v>0</v>
      </c>
      <c r="H535" s="3">
        <f>dados_01!H535</f>
        <v>0</v>
      </c>
      <c r="I535" s="3">
        <f>dados_01!I535</f>
        <v>0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 spans="1:26">
      <c r="A536" s="3">
        <f>dados_01!A536</f>
        <v>0</v>
      </c>
      <c r="B536" s="3">
        <f>dados_01!B536</f>
        <v>0</v>
      </c>
      <c r="C536" s="3" t="str">
        <f>IFERROR(__xludf.dummyfunction("JOIN("". "", ARRAYFORMULA(IFERROR(LEFT(SPLIT(dados_01!C536, "" ""), 1))))"),"")</f>
        <v/>
      </c>
      <c r="D536" s="3">
        <f>dados_01!D536</f>
        <v>0</v>
      </c>
      <c r="E536" s="3" t="str">
        <f>CONCATENATE(LEFT(dados_01!E536,3),REPT("*",6),RIGHT(dados_01!E536,2))</f>
        <v>******</v>
      </c>
      <c r="F536" s="3">
        <f>dados_01!F536</f>
        <v>0</v>
      </c>
      <c r="G536" s="3">
        <f>dados_01!G536</f>
        <v>0</v>
      </c>
      <c r="H536" s="3">
        <f>dados_01!H536</f>
        <v>0</v>
      </c>
      <c r="I536" s="3">
        <f>dados_01!I536</f>
        <v>0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 spans="1:26">
      <c r="A537" s="3">
        <f>dados_01!A537</f>
        <v>0</v>
      </c>
      <c r="B537" s="3">
        <f>dados_01!B537</f>
        <v>0</v>
      </c>
      <c r="C537" s="3" t="str">
        <f>IFERROR(__xludf.dummyfunction("JOIN("". "", ARRAYFORMULA(IFERROR(LEFT(SPLIT(dados_01!C537, "" ""), 1))))"),"")</f>
        <v/>
      </c>
      <c r="D537" s="3">
        <f>dados_01!D537</f>
        <v>0</v>
      </c>
      <c r="E537" s="3" t="str">
        <f>CONCATENATE(LEFT(dados_01!E537,3),REPT("*",6),RIGHT(dados_01!E537,2))</f>
        <v>******</v>
      </c>
      <c r="F537" s="3">
        <f>dados_01!F537</f>
        <v>0</v>
      </c>
      <c r="G537" s="3">
        <f>dados_01!G537</f>
        <v>0</v>
      </c>
      <c r="H537" s="3">
        <f>dados_01!H537</f>
        <v>0</v>
      </c>
      <c r="I537" s="3">
        <f>dados_01!I537</f>
        <v>0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 spans="1:26">
      <c r="A538" s="3">
        <f>dados_01!A538</f>
        <v>0</v>
      </c>
      <c r="B538" s="3">
        <f>dados_01!B538</f>
        <v>0</v>
      </c>
      <c r="C538" s="3" t="str">
        <f>IFERROR(__xludf.dummyfunction("JOIN("". "", ARRAYFORMULA(IFERROR(LEFT(SPLIT(dados_01!C538, "" ""), 1))))"),"")</f>
        <v/>
      </c>
      <c r="D538" s="3">
        <f>dados_01!D538</f>
        <v>0</v>
      </c>
      <c r="E538" s="3" t="str">
        <f>CONCATENATE(LEFT(dados_01!E538,3),REPT("*",6),RIGHT(dados_01!E538,2))</f>
        <v>******</v>
      </c>
      <c r="F538" s="3">
        <f>dados_01!F538</f>
        <v>0</v>
      </c>
      <c r="G538" s="3">
        <f>dados_01!G538</f>
        <v>0</v>
      </c>
      <c r="H538" s="3">
        <f>dados_01!H538</f>
        <v>0</v>
      </c>
      <c r="I538" s="3">
        <f>dados_01!I538</f>
        <v>0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 spans="1:26">
      <c r="A539" s="3">
        <f>dados_01!A539</f>
        <v>0</v>
      </c>
      <c r="B539" s="3">
        <f>dados_01!B539</f>
        <v>0</v>
      </c>
      <c r="C539" s="3" t="str">
        <f>IFERROR(__xludf.dummyfunction("JOIN("". "", ARRAYFORMULA(IFERROR(LEFT(SPLIT(dados_01!C539, "" ""), 1))))"),"")</f>
        <v/>
      </c>
      <c r="D539" s="3">
        <f>dados_01!D539</f>
        <v>0</v>
      </c>
      <c r="E539" s="3" t="str">
        <f>CONCATENATE(LEFT(dados_01!E539,3),REPT("*",6),RIGHT(dados_01!E539,2))</f>
        <v>******</v>
      </c>
      <c r="F539" s="3">
        <f>dados_01!F539</f>
        <v>0</v>
      </c>
      <c r="G539" s="3">
        <f>dados_01!G539</f>
        <v>0</v>
      </c>
      <c r="H539" s="3">
        <f>dados_01!H539</f>
        <v>0</v>
      </c>
      <c r="I539" s="3">
        <f>dados_01!I539</f>
        <v>0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 spans="1:26">
      <c r="A540" s="3">
        <f>dados_01!A540</f>
        <v>0</v>
      </c>
      <c r="B540" s="3">
        <f>dados_01!B540</f>
        <v>0</v>
      </c>
      <c r="C540" s="3" t="str">
        <f>IFERROR(__xludf.dummyfunction("JOIN("". "", ARRAYFORMULA(IFERROR(LEFT(SPLIT(dados_01!C540, "" ""), 1))))"),"")</f>
        <v/>
      </c>
      <c r="D540" s="3">
        <f>dados_01!D540</f>
        <v>0</v>
      </c>
      <c r="E540" s="3" t="str">
        <f>CONCATENATE(LEFT(dados_01!E540,3),REPT("*",6),RIGHT(dados_01!E540,2))</f>
        <v>******</v>
      </c>
      <c r="F540" s="3">
        <f>dados_01!F540</f>
        <v>0</v>
      </c>
      <c r="G540" s="3">
        <f>dados_01!G540</f>
        <v>0</v>
      </c>
      <c r="H540" s="3">
        <f>dados_01!H540</f>
        <v>0</v>
      </c>
      <c r="I540" s="3">
        <f>dados_01!I540</f>
        <v>0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 spans="1:26">
      <c r="A541" s="3">
        <f>dados_01!A541</f>
        <v>0</v>
      </c>
      <c r="B541" s="3">
        <f>dados_01!B541</f>
        <v>0</v>
      </c>
      <c r="C541" s="3" t="str">
        <f>IFERROR(__xludf.dummyfunction("JOIN("". "", ARRAYFORMULA(IFERROR(LEFT(SPLIT(dados_01!C541, "" ""), 1))))"),"")</f>
        <v/>
      </c>
      <c r="D541" s="3">
        <f>dados_01!D541</f>
        <v>0</v>
      </c>
      <c r="E541" s="3" t="str">
        <f>CONCATENATE(LEFT(dados_01!E541,3),REPT("*",6),RIGHT(dados_01!E541,2))</f>
        <v>******</v>
      </c>
      <c r="F541" s="3">
        <f>dados_01!F541</f>
        <v>0</v>
      </c>
      <c r="G541" s="3">
        <f>dados_01!G541</f>
        <v>0</v>
      </c>
      <c r="H541" s="3">
        <f>dados_01!H541</f>
        <v>0</v>
      </c>
      <c r="I541" s="3">
        <f>dados_01!I541</f>
        <v>0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 spans="1:26">
      <c r="A542" s="3">
        <f>dados_01!A542</f>
        <v>0</v>
      </c>
      <c r="B542" s="3">
        <f>dados_01!B542</f>
        <v>0</v>
      </c>
      <c r="C542" s="3" t="str">
        <f>IFERROR(__xludf.dummyfunction("JOIN("". "", ARRAYFORMULA(IFERROR(LEFT(SPLIT(dados_01!C542, "" ""), 1))))"),"")</f>
        <v/>
      </c>
      <c r="D542" s="3">
        <f>dados_01!D542</f>
        <v>0</v>
      </c>
      <c r="E542" s="3" t="str">
        <f>CONCATENATE(LEFT(dados_01!E542,3),REPT("*",6),RIGHT(dados_01!E542,2))</f>
        <v>******</v>
      </c>
      <c r="F542" s="3">
        <f>dados_01!F542</f>
        <v>0</v>
      </c>
      <c r="G542" s="3">
        <f>dados_01!G542</f>
        <v>0</v>
      </c>
      <c r="H542" s="3">
        <f>dados_01!H542</f>
        <v>0</v>
      </c>
      <c r="I542" s="3">
        <f>dados_01!I542</f>
        <v>0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 spans="1:26">
      <c r="A543" s="3">
        <f>dados_01!A543</f>
        <v>0</v>
      </c>
      <c r="B543" s="3">
        <f>dados_01!B543</f>
        <v>0</v>
      </c>
      <c r="C543" s="3" t="str">
        <f>IFERROR(__xludf.dummyfunction("JOIN("". "", ARRAYFORMULA(IFERROR(LEFT(SPLIT(dados_01!C543, "" ""), 1))))"),"")</f>
        <v/>
      </c>
      <c r="D543" s="3">
        <f>dados_01!D543</f>
        <v>0</v>
      </c>
      <c r="E543" s="3" t="str">
        <f>CONCATENATE(LEFT(dados_01!E543,3),REPT("*",6),RIGHT(dados_01!E543,2))</f>
        <v>******</v>
      </c>
      <c r="F543" s="3">
        <f>dados_01!F543</f>
        <v>0</v>
      </c>
      <c r="G543" s="3">
        <f>dados_01!G543</f>
        <v>0</v>
      </c>
      <c r="H543" s="3">
        <f>dados_01!H543</f>
        <v>0</v>
      </c>
      <c r="I543" s="3">
        <f>dados_01!I543</f>
        <v>0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 spans="1:26">
      <c r="A544" s="3">
        <f>dados_01!A544</f>
        <v>0</v>
      </c>
      <c r="B544" s="3">
        <f>dados_01!B544</f>
        <v>0</v>
      </c>
      <c r="C544" s="3" t="str">
        <f>IFERROR(__xludf.dummyfunction("JOIN("". "", ARRAYFORMULA(IFERROR(LEFT(SPLIT(dados_01!C544, "" ""), 1))))"),"")</f>
        <v/>
      </c>
      <c r="D544" s="3">
        <f>dados_01!D544</f>
        <v>0</v>
      </c>
      <c r="E544" s="3" t="str">
        <f>CONCATENATE(LEFT(dados_01!E544,3),REPT("*",6),RIGHT(dados_01!E544,2))</f>
        <v>******</v>
      </c>
      <c r="F544" s="3">
        <f>dados_01!F544</f>
        <v>0</v>
      </c>
      <c r="G544" s="3">
        <f>dados_01!G544</f>
        <v>0</v>
      </c>
      <c r="H544" s="3">
        <f>dados_01!H544</f>
        <v>0</v>
      </c>
      <c r="I544" s="3">
        <f>dados_01!I544</f>
        <v>0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 spans="1:26">
      <c r="A545" s="3">
        <f>dados_01!A545</f>
        <v>0</v>
      </c>
      <c r="B545" s="3">
        <f>dados_01!B545</f>
        <v>0</v>
      </c>
      <c r="C545" s="3" t="str">
        <f>IFERROR(__xludf.dummyfunction("JOIN("". "", ARRAYFORMULA(IFERROR(LEFT(SPLIT(dados_01!C545, "" ""), 1))))"),"")</f>
        <v/>
      </c>
      <c r="D545" s="3">
        <f>dados_01!D545</f>
        <v>0</v>
      </c>
      <c r="E545" s="3" t="str">
        <f>CONCATENATE(LEFT(dados_01!E545,3),REPT("*",6),RIGHT(dados_01!E545,2))</f>
        <v>******</v>
      </c>
      <c r="F545" s="3">
        <f>dados_01!F545</f>
        <v>0</v>
      </c>
      <c r="G545" s="3">
        <f>dados_01!G545</f>
        <v>0</v>
      </c>
      <c r="H545" s="3">
        <f>dados_01!H545</f>
        <v>0</v>
      </c>
      <c r="I545" s="3">
        <f>dados_01!I545</f>
        <v>0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 spans="1:26">
      <c r="A546" s="3">
        <f>dados_01!A546</f>
        <v>0</v>
      </c>
      <c r="B546" s="3">
        <f>dados_01!B546</f>
        <v>0</v>
      </c>
      <c r="C546" s="3" t="str">
        <f>IFERROR(__xludf.dummyfunction("JOIN("". "", ARRAYFORMULA(IFERROR(LEFT(SPLIT(dados_01!C546, "" ""), 1))))"),"")</f>
        <v/>
      </c>
      <c r="D546" s="3">
        <f>dados_01!D546</f>
        <v>0</v>
      </c>
      <c r="E546" s="3" t="str">
        <f>CONCATENATE(LEFT(dados_01!E546,3),REPT("*",6),RIGHT(dados_01!E546,2))</f>
        <v>******</v>
      </c>
      <c r="F546" s="3">
        <f>dados_01!F546</f>
        <v>0</v>
      </c>
      <c r="G546" s="3">
        <f>dados_01!G546</f>
        <v>0</v>
      </c>
      <c r="H546" s="3">
        <f>dados_01!H546</f>
        <v>0</v>
      </c>
      <c r="I546" s="3">
        <f>dados_01!I546</f>
        <v>0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 spans="1:26">
      <c r="A547" s="3">
        <f>dados_01!A547</f>
        <v>0</v>
      </c>
      <c r="B547" s="3">
        <f>dados_01!B547</f>
        <v>0</v>
      </c>
      <c r="C547" s="3" t="str">
        <f>IFERROR(__xludf.dummyfunction("JOIN("". "", ARRAYFORMULA(IFERROR(LEFT(SPLIT(dados_01!C547, "" ""), 1))))"),"")</f>
        <v/>
      </c>
      <c r="D547" s="3">
        <f>dados_01!D547</f>
        <v>0</v>
      </c>
      <c r="E547" s="3" t="str">
        <f>CONCATENATE(LEFT(dados_01!E547,3),REPT("*",6),RIGHT(dados_01!E547,2))</f>
        <v>******</v>
      </c>
      <c r="F547" s="3">
        <f>dados_01!F547</f>
        <v>0</v>
      </c>
      <c r="G547" s="3">
        <f>dados_01!G547</f>
        <v>0</v>
      </c>
      <c r="H547" s="3">
        <f>dados_01!H547</f>
        <v>0</v>
      </c>
      <c r="I547" s="3">
        <f>dados_01!I547</f>
        <v>0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 spans="1:26">
      <c r="A548" s="3">
        <f>dados_01!A548</f>
        <v>0</v>
      </c>
      <c r="B548" s="3">
        <f>dados_01!B548</f>
        <v>0</v>
      </c>
      <c r="C548" s="3" t="str">
        <f>IFERROR(__xludf.dummyfunction("JOIN("". "", ARRAYFORMULA(IFERROR(LEFT(SPLIT(dados_01!C548, "" ""), 1))))"),"")</f>
        <v/>
      </c>
      <c r="D548" s="3">
        <f>dados_01!D548</f>
        <v>0</v>
      </c>
      <c r="E548" s="3" t="str">
        <f>CONCATENATE(LEFT(dados_01!E548,3),REPT("*",6),RIGHT(dados_01!E548,2))</f>
        <v>******</v>
      </c>
      <c r="F548" s="3">
        <f>dados_01!F548</f>
        <v>0</v>
      </c>
      <c r="G548" s="3">
        <f>dados_01!G548</f>
        <v>0</v>
      </c>
      <c r="H548" s="3">
        <f>dados_01!H548</f>
        <v>0</v>
      </c>
      <c r="I548" s="3">
        <f>dados_01!I548</f>
        <v>0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 spans="1:26">
      <c r="A549" s="3">
        <f>dados_01!A549</f>
        <v>0</v>
      </c>
      <c r="B549" s="3">
        <f>dados_01!B549</f>
        <v>0</v>
      </c>
      <c r="C549" s="3" t="str">
        <f>IFERROR(__xludf.dummyfunction("JOIN("". "", ARRAYFORMULA(IFERROR(LEFT(SPLIT(dados_01!C549, "" ""), 1))))"),"")</f>
        <v/>
      </c>
      <c r="D549" s="3">
        <f>dados_01!D549</f>
        <v>0</v>
      </c>
      <c r="E549" s="3" t="str">
        <f>CONCATENATE(LEFT(dados_01!E549,3),REPT("*",6),RIGHT(dados_01!E549,2))</f>
        <v>******</v>
      </c>
      <c r="F549" s="3">
        <f>dados_01!F549</f>
        <v>0</v>
      </c>
      <c r="G549" s="3">
        <f>dados_01!G549</f>
        <v>0</v>
      </c>
      <c r="H549" s="3">
        <f>dados_01!H549</f>
        <v>0</v>
      </c>
      <c r="I549" s="3">
        <f>dados_01!I549</f>
        <v>0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 spans="1:26">
      <c r="A550" s="3">
        <f>dados_01!A550</f>
        <v>0</v>
      </c>
      <c r="B550" s="3">
        <f>dados_01!B550</f>
        <v>0</v>
      </c>
      <c r="C550" s="3" t="str">
        <f>IFERROR(__xludf.dummyfunction("JOIN("". "", ARRAYFORMULA(IFERROR(LEFT(SPLIT(dados_01!C550, "" ""), 1))))"),"")</f>
        <v/>
      </c>
      <c r="D550" s="3">
        <f>dados_01!D550</f>
        <v>0</v>
      </c>
      <c r="E550" s="3" t="str">
        <f>CONCATENATE(LEFT(dados_01!E550,3),REPT("*",6),RIGHT(dados_01!E550,2))</f>
        <v>******</v>
      </c>
      <c r="F550" s="3">
        <f>dados_01!F550</f>
        <v>0</v>
      </c>
      <c r="G550" s="3">
        <f>dados_01!G550</f>
        <v>0</v>
      </c>
      <c r="H550" s="3">
        <f>dados_01!H550</f>
        <v>0</v>
      </c>
      <c r="I550" s="3">
        <f>dados_01!I550</f>
        <v>0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 spans="1:26">
      <c r="A551" s="3">
        <f>dados_01!A551</f>
        <v>0</v>
      </c>
      <c r="B551" s="3">
        <f>dados_01!B551</f>
        <v>0</v>
      </c>
      <c r="C551" s="3" t="str">
        <f>IFERROR(__xludf.dummyfunction("JOIN("". "", ARRAYFORMULA(IFERROR(LEFT(SPLIT(dados_01!C551, "" ""), 1))))"),"")</f>
        <v/>
      </c>
      <c r="D551" s="3">
        <f>dados_01!D551</f>
        <v>0</v>
      </c>
      <c r="E551" s="3" t="str">
        <f>CONCATENATE(LEFT(dados_01!E551,3),REPT("*",6),RIGHT(dados_01!E551,2))</f>
        <v>******</v>
      </c>
      <c r="F551" s="3">
        <f>dados_01!F551</f>
        <v>0</v>
      </c>
      <c r="G551" s="3">
        <f>dados_01!G551</f>
        <v>0</v>
      </c>
      <c r="H551" s="3">
        <f>dados_01!H551</f>
        <v>0</v>
      </c>
      <c r="I551" s="3">
        <f>dados_01!I551</f>
        <v>0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 spans="1:26">
      <c r="A552" s="3">
        <f>dados_01!A552</f>
        <v>0</v>
      </c>
      <c r="B552" s="3">
        <f>dados_01!B552</f>
        <v>0</v>
      </c>
      <c r="C552" s="3" t="str">
        <f>IFERROR(__xludf.dummyfunction("JOIN("". "", ARRAYFORMULA(IFERROR(LEFT(SPLIT(dados_01!C552, "" ""), 1))))"),"")</f>
        <v/>
      </c>
      <c r="D552" s="3">
        <f>dados_01!D552</f>
        <v>0</v>
      </c>
      <c r="E552" s="3" t="str">
        <f>CONCATENATE(LEFT(dados_01!E552,3),REPT("*",6),RIGHT(dados_01!E552,2))</f>
        <v>******</v>
      </c>
      <c r="F552" s="3">
        <f>dados_01!F552</f>
        <v>0</v>
      </c>
      <c r="G552" s="3">
        <f>dados_01!G552</f>
        <v>0</v>
      </c>
      <c r="H552" s="3">
        <f>dados_01!H552</f>
        <v>0</v>
      </c>
      <c r="I552" s="3">
        <f>dados_01!I552</f>
        <v>0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 spans="1:26">
      <c r="A553" s="3">
        <f>dados_01!A553</f>
        <v>0</v>
      </c>
      <c r="B553" s="3">
        <f>dados_01!B553</f>
        <v>0</v>
      </c>
      <c r="C553" s="3" t="str">
        <f>IFERROR(__xludf.dummyfunction("JOIN("". "", ARRAYFORMULA(IFERROR(LEFT(SPLIT(dados_01!C553, "" ""), 1))))"),"")</f>
        <v/>
      </c>
      <c r="D553" s="3">
        <f>dados_01!D553</f>
        <v>0</v>
      </c>
      <c r="E553" s="3" t="str">
        <f>CONCATENATE(LEFT(dados_01!E553,3),REPT("*",6),RIGHT(dados_01!E553,2))</f>
        <v>******</v>
      </c>
      <c r="F553" s="3">
        <f>dados_01!F553</f>
        <v>0</v>
      </c>
      <c r="G553" s="3">
        <f>dados_01!G553</f>
        <v>0</v>
      </c>
      <c r="H553" s="3">
        <f>dados_01!H553</f>
        <v>0</v>
      </c>
      <c r="I553" s="3">
        <f>dados_01!I553</f>
        <v>0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 spans="1:26">
      <c r="A554" s="3">
        <f>dados_01!A554</f>
        <v>0</v>
      </c>
      <c r="B554" s="3">
        <f>dados_01!B554</f>
        <v>0</v>
      </c>
      <c r="C554" s="3" t="str">
        <f>IFERROR(__xludf.dummyfunction("JOIN("". "", ARRAYFORMULA(IFERROR(LEFT(SPLIT(dados_01!C554, "" ""), 1))))"),"")</f>
        <v/>
      </c>
      <c r="D554" s="3">
        <f>dados_01!D554</f>
        <v>0</v>
      </c>
      <c r="E554" s="3" t="str">
        <f>CONCATENATE(LEFT(dados_01!E554,3),REPT("*",6),RIGHT(dados_01!E554,2))</f>
        <v>******</v>
      </c>
      <c r="F554" s="3">
        <f>dados_01!F554</f>
        <v>0</v>
      </c>
      <c r="G554" s="3">
        <f>dados_01!G554</f>
        <v>0</v>
      </c>
      <c r="H554" s="3">
        <f>dados_01!H554</f>
        <v>0</v>
      </c>
      <c r="I554" s="3">
        <f>dados_01!I554</f>
        <v>0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 spans="1:26">
      <c r="A555" s="3">
        <f>dados_01!A555</f>
        <v>0</v>
      </c>
      <c r="B555" s="3">
        <f>dados_01!B555</f>
        <v>0</v>
      </c>
      <c r="C555" s="3" t="str">
        <f>IFERROR(__xludf.dummyfunction("JOIN("". "", ARRAYFORMULA(IFERROR(LEFT(SPLIT(dados_01!C555, "" ""), 1))))"),"")</f>
        <v/>
      </c>
      <c r="D555" s="3">
        <f>dados_01!D555</f>
        <v>0</v>
      </c>
      <c r="E555" s="3" t="str">
        <f>CONCATENATE(LEFT(dados_01!E555,3),REPT("*",6),RIGHT(dados_01!E555,2))</f>
        <v>******</v>
      </c>
      <c r="F555" s="3">
        <f>dados_01!F555</f>
        <v>0</v>
      </c>
      <c r="G555" s="3">
        <f>dados_01!G555</f>
        <v>0</v>
      </c>
      <c r="H555" s="3">
        <f>dados_01!H555</f>
        <v>0</v>
      </c>
      <c r="I555" s="3">
        <f>dados_01!I555</f>
        <v>0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 spans="1:26">
      <c r="A556" s="3">
        <f>dados_01!A556</f>
        <v>0</v>
      </c>
      <c r="B556" s="3">
        <f>dados_01!B556</f>
        <v>0</v>
      </c>
      <c r="C556" s="3" t="str">
        <f>IFERROR(__xludf.dummyfunction("JOIN("". "", ARRAYFORMULA(IFERROR(LEFT(SPLIT(dados_01!C556, "" ""), 1))))"),"")</f>
        <v/>
      </c>
      <c r="D556" s="3">
        <f>dados_01!D556</f>
        <v>0</v>
      </c>
      <c r="E556" s="3" t="str">
        <f>CONCATENATE(LEFT(dados_01!E556,3),REPT("*",6),RIGHT(dados_01!E556,2))</f>
        <v>******</v>
      </c>
      <c r="F556" s="3">
        <f>dados_01!F556</f>
        <v>0</v>
      </c>
      <c r="G556" s="3">
        <f>dados_01!G556</f>
        <v>0</v>
      </c>
      <c r="H556" s="3">
        <f>dados_01!H556</f>
        <v>0</v>
      </c>
      <c r="I556" s="3">
        <f>dados_01!I556</f>
        <v>0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 spans="1:26">
      <c r="A557" s="3">
        <f>dados_01!A557</f>
        <v>0</v>
      </c>
      <c r="B557" s="3">
        <f>dados_01!B557</f>
        <v>0</v>
      </c>
      <c r="C557" s="3" t="str">
        <f>IFERROR(__xludf.dummyfunction("JOIN("". "", ARRAYFORMULA(IFERROR(LEFT(SPLIT(dados_01!C557, "" ""), 1))))"),"")</f>
        <v/>
      </c>
      <c r="D557" s="3">
        <f>dados_01!D557</f>
        <v>0</v>
      </c>
      <c r="E557" s="3" t="str">
        <f>CONCATENATE(LEFT(dados_01!E557,3),REPT("*",6),RIGHT(dados_01!E557,2))</f>
        <v>******</v>
      </c>
      <c r="F557" s="3">
        <f>dados_01!F557</f>
        <v>0</v>
      </c>
      <c r="G557" s="3">
        <f>dados_01!G557</f>
        <v>0</v>
      </c>
      <c r="H557" s="3">
        <f>dados_01!H557</f>
        <v>0</v>
      </c>
      <c r="I557" s="3">
        <f>dados_01!I557</f>
        <v>0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 spans="1:26">
      <c r="A558" s="3">
        <f>dados_01!A558</f>
        <v>0</v>
      </c>
      <c r="B558" s="3">
        <f>dados_01!B558</f>
        <v>0</v>
      </c>
      <c r="C558" s="3" t="str">
        <f>IFERROR(__xludf.dummyfunction("JOIN("". "", ARRAYFORMULA(IFERROR(LEFT(SPLIT(dados_01!C558, "" ""), 1))))"),"")</f>
        <v/>
      </c>
      <c r="D558" s="3">
        <f>dados_01!D558</f>
        <v>0</v>
      </c>
      <c r="E558" s="3" t="str">
        <f>CONCATENATE(LEFT(dados_01!E558,3),REPT("*",6),RIGHT(dados_01!E558,2))</f>
        <v>******</v>
      </c>
      <c r="F558" s="3">
        <f>dados_01!F558</f>
        <v>0</v>
      </c>
      <c r="G558" s="3">
        <f>dados_01!G558</f>
        <v>0</v>
      </c>
      <c r="H558" s="3">
        <f>dados_01!H558</f>
        <v>0</v>
      </c>
      <c r="I558" s="3">
        <f>dados_01!I558</f>
        <v>0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 spans="1:26">
      <c r="A559" s="3">
        <f>dados_01!A559</f>
        <v>0</v>
      </c>
      <c r="B559" s="3">
        <f>dados_01!B559</f>
        <v>0</v>
      </c>
      <c r="C559" s="3" t="str">
        <f>IFERROR(__xludf.dummyfunction("JOIN("". "", ARRAYFORMULA(IFERROR(LEFT(SPLIT(dados_01!C559, "" ""), 1))))"),"")</f>
        <v/>
      </c>
      <c r="D559" s="3">
        <f>dados_01!D559</f>
        <v>0</v>
      </c>
      <c r="E559" s="3" t="str">
        <f>CONCATENATE(LEFT(dados_01!E559,3),REPT("*",6),RIGHT(dados_01!E559,2))</f>
        <v>******</v>
      </c>
      <c r="F559" s="3">
        <f>dados_01!F559</f>
        <v>0</v>
      </c>
      <c r="G559" s="3">
        <f>dados_01!G559</f>
        <v>0</v>
      </c>
      <c r="H559" s="3">
        <f>dados_01!H559</f>
        <v>0</v>
      </c>
      <c r="I559" s="3">
        <f>dados_01!I559</f>
        <v>0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 spans="1:26">
      <c r="A560" s="3">
        <f>dados_01!A560</f>
        <v>0</v>
      </c>
      <c r="B560" s="3">
        <f>dados_01!B560</f>
        <v>0</v>
      </c>
      <c r="C560" s="3" t="str">
        <f>IFERROR(__xludf.dummyfunction("JOIN("". "", ARRAYFORMULA(IFERROR(LEFT(SPLIT(dados_01!C560, "" ""), 1))))"),"")</f>
        <v/>
      </c>
      <c r="D560" s="3">
        <f>dados_01!D560</f>
        <v>0</v>
      </c>
      <c r="E560" s="3" t="str">
        <f>CONCATENATE(LEFT(dados_01!E560,3),REPT("*",6),RIGHT(dados_01!E560,2))</f>
        <v>******</v>
      </c>
      <c r="F560" s="3">
        <f>dados_01!F560</f>
        <v>0</v>
      </c>
      <c r="G560" s="3">
        <f>dados_01!G560</f>
        <v>0</v>
      </c>
      <c r="H560" s="3">
        <f>dados_01!H560</f>
        <v>0</v>
      </c>
      <c r="I560" s="3">
        <f>dados_01!I560</f>
        <v>0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 spans="1:26">
      <c r="A561" s="3">
        <f>dados_01!A561</f>
        <v>0</v>
      </c>
      <c r="B561" s="3">
        <f>dados_01!B561</f>
        <v>0</v>
      </c>
      <c r="C561" s="3" t="str">
        <f>IFERROR(__xludf.dummyfunction("JOIN("". "", ARRAYFORMULA(IFERROR(LEFT(SPLIT(dados_01!C561, "" ""), 1))))"),"")</f>
        <v/>
      </c>
      <c r="D561" s="3">
        <f>dados_01!D561</f>
        <v>0</v>
      </c>
      <c r="E561" s="3" t="str">
        <f>CONCATENATE(LEFT(dados_01!E561,3),REPT("*",6),RIGHT(dados_01!E561,2))</f>
        <v>******</v>
      </c>
      <c r="F561" s="3">
        <f>dados_01!F561</f>
        <v>0</v>
      </c>
      <c r="G561" s="3">
        <f>dados_01!G561</f>
        <v>0</v>
      </c>
      <c r="H561" s="3">
        <f>dados_01!H561</f>
        <v>0</v>
      </c>
      <c r="I561" s="3">
        <f>dados_01!I561</f>
        <v>0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 spans="1:26">
      <c r="A562" s="3">
        <f>dados_01!A562</f>
        <v>0</v>
      </c>
      <c r="B562" s="3">
        <f>dados_01!B562</f>
        <v>0</v>
      </c>
      <c r="C562" s="3" t="str">
        <f>IFERROR(__xludf.dummyfunction("JOIN("". "", ARRAYFORMULA(IFERROR(LEFT(SPLIT(dados_01!C562, "" ""), 1))))"),"")</f>
        <v/>
      </c>
      <c r="D562" s="3">
        <f>dados_01!D562</f>
        <v>0</v>
      </c>
      <c r="E562" s="3" t="str">
        <f>CONCATENATE(LEFT(dados_01!E562,3),REPT("*",6),RIGHT(dados_01!E562,2))</f>
        <v>******</v>
      </c>
      <c r="F562" s="3">
        <f>dados_01!F562</f>
        <v>0</v>
      </c>
      <c r="G562" s="3">
        <f>dados_01!G562</f>
        <v>0</v>
      </c>
      <c r="H562" s="3">
        <f>dados_01!H562</f>
        <v>0</v>
      </c>
      <c r="I562" s="3">
        <f>dados_01!I562</f>
        <v>0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 spans="1:26">
      <c r="A563" s="3">
        <f>dados_01!A563</f>
        <v>0</v>
      </c>
      <c r="B563" s="3">
        <f>dados_01!B563</f>
        <v>0</v>
      </c>
      <c r="C563" s="3" t="str">
        <f>IFERROR(__xludf.dummyfunction("JOIN("". "", ARRAYFORMULA(IFERROR(LEFT(SPLIT(dados_01!C563, "" ""), 1))))"),"")</f>
        <v/>
      </c>
      <c r="D563" s="3">
        <f>dados_01!D563</f>
        <v>0</v>
      </c>
      <c r="E563" s="3" t="str">
        <f>CONCATENATE(LEFT(dados_01!E563,3),REPT("*",6),RIGHT(dados_01!E563,2))</f>
        <v>******</v>
      </c>
      <c r="F563" s="3">
        <f>dados_01!F563</f>
        <v>0</v>
      </c>
      <c r="G563" s="3">
        <f>dados_01!G563</f>
        <v>0</v>
      </c>
      <c r="H563" s="3">
        <f>dados_01!H563</f>
        <v>0</v>
      </c>
      <c r="I563" s="3">
        <f>dados_01!I563</f>
        <v>0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 spans="1:26">
      <c r="A564" s="3">
        <f>dados_01!A564</f>
        <v>0</v>
      </c>
      <c r="B564" s="3">
        <f>dados_01!B564</f>
        <v>0</v>
      </c>
      <c r="C564" s="3" t="str">
        <f>IFERROR(__xludf.dummyfunction("JOIN("". "", ARRAYFORMULA(IFERROR(LEFT(SPLIT(dados_01!C564, "" ""), 1))))"),"")</f>
        <v/>
      </c>
      <c r="D564" s="3">
        <f>dados_01!D564</f>
        <v>0</v>
      </c>
      <c r="E564" s="3" t="str">
        <f>CONCATENATE(LEFT(dados_01!E564,3),REPT("*",6),RIGHT(dados_01!E564,2))</f>
        <v>******</v>
      </c>
      <c r="F564" s="3">
        <f>dados_01!F564</f>
        <v>0</v>
      </c>
      <c r="G564" s="3">
        <f>dados_01!G564</f>
        <v>0</v>
      </c>
      <c r="H564" s="3">
        <f>dados_01!H564</f>
        <v>0</v>
      </c>
      <c r="I564" s="3">
        <f>dados_01!I564</f>
        <v>0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 spans="1:26">
      <c r="A565" s="3">
        <f>dados_01!A565</f>
        <v>0</v>
      </c>
      <c r="B565" s="3">
        <f>dados_01!B565</f>
        <v>0</v>
      </c>
      <c r="C565" s="3" t="str">
        <f>IFERROR(__xludf.dummyfunction("JOIN("". "", ARRAYFORMULA(IFERROR(LEFT(SPLIT(dados_01!C565, "" ""), 1))))"),"")</f>
        <v/>
      </c>
      <c r="D565" s="3">
        <f>dados_01!D565</f>
        <v>0</v>
      </c>
      <c r="E565" s="3" t="str">
        <f>CONCATENATE(LEFT(dados_01!E565,3),REPT("*",6),RIGHT(dados_01!E565,2))</f>
        <v>******</v>
      </c>
      <c r="F565" s="3">
        <f>dados_01!F565</f>
        <v>0</v>
      </c>
      <c r="G565" s="3">
        <f>dados_01!G565</f>
        <v>0</v>
      </c>
      <c r="H565" s="3">
        <f>dados_01!H565</f>
        <v>0</v>
      </c>
      <c r="I565" s="3">
        <f>dados_01!I565</f>
        <v>0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 spans="1:26">
      <c r="A566" s="3">
        <f>dados_01!A566</f>
        <v>0</v>
      </c>
      <c r="B566" s="3">
        <f>dados_01!B566</f>
        <v>0</v>
      </c>
      <c r="C566" s="3" t="str">
        <f>IFERROR(__xludf.dummyfunction("JOIN("". "", ARRAYFORMULA(IFERROR(LEFT(SPLIT(dados_01!C566, "" ""), 1))))"),"")</f>
        <v/>
      </c>
      <c r="D566" s="3">
        <f>dados_01!D566</f>
        <v>0</v>
      </c>
      <c r="E566" s="3" t="str">
        <f>CONCATENATE(LEFT(dados_01!E566,3),REPT("*",6),RIGHT(dados_01!E566,2))</f>
        <v>******</v>
      </c>
      <c r="F566" s="3">
        <f>dados_01!F566</f>
        <v>0</v>
      </c>
      <c r="G566" s="3">
        <f>dados_01!G566</f>
        <v>0</v>
      </c>
      <c r="H566" s="3">
        <f>dados_01!H566</f>
        <v>0</v>
      </c>
      <c r="I566" s="3">
        <f>dados_01!I566</f>
        <v>0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 spans="1:26">
      <c r="A567" s="3">
        <f>dados_01!A567</f>
        <v>0</v>
      </c>
      <c r="B567" s="3">
        <f>dados_01!B567</f>
        <v>0</v>
      </c>
      <c r="C567" s="3" t="str">
        <f>IFERROR(__xludf.dummyfunction("JOIN("". "", ARRAYFORMULA(IFERROR(LEFT(SPLIT(dados_01!C567, "" ""), 1))))"),"")</f>
        <v/>
      </c>
      <c r="D567" s="3">
        <f>dados_01!D567</f>
        <v>0</v>
      </c>
      <c r="E567" s="3" t="str">
        <f>CONCATENATE(LEFT(dados_01!E567,3),REPT("*",6),RIGHT(dados_01!E567,2))</f>
        <v>******</v>
      </c>
      <c r="F567" s="3">
        <f>dados_01!F567</f>
        <v>0</v>
      </c>
      <c r="G567" s="3">
        <f>dados_01!G567</f>
        <v>0</v>
      </c>
      <c r="H567" s="3">
        <f>dados_01!H567</f>
        <v>0</v>
      </c>
      <c r="I567" s="3">
        <f>dados_01!I567</f>
        <v>0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 spans="1:26">
      <c r="A568" s="3">
        <f>dados_01!A568</f>
        <v>0</v>
      </c>
      <c r="B568" s="3">
        <f>dados_01!B568</f>
        <v>0</v>
      </c>
      <c r="C568" s="3" t="str">
        <f>IFERROR(__xludf.dummyfunction("JOIN("". "", ARRAYFORMULA(IFERROR(LEFT(SPLIT(dados_01!C568, "" ""), 1))))"),"")</f>
        <v/>
      </c>
      <c r="D568" s="3">
        <f>dados_01!D568</f>
        <v>0</v>
      </c>
      <c r="E568" s="3" t="str">
        <f>CONCATENATE(LEFT(dados_01!E568,3),REPT("*",6),RIGHT(dados_01!E568,2))</f>
        <v>******</v>
      </c>
      <c r="F568" s="3">
        <f>dados_01!F568</f>
        <v>0</v>
      </c>
      <c r="G568" s="3">
        <f>dados_01!G568</f>
        <v>0</v>
      </c>
      <c r="H568" s="3">
        <f>dados_01!H568</f>
        <v>0</v>
      </c>
      <c r="I568" s="3">
        <f>dados_01!I568</f>
        <v>0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 spans="1:26">
      <c r="A569" s="3">
        <f>dados_01!A569</f>
        <v>0</v>
      </c>
      <c r="B569" s="3">
        <f>dados_01!B569</f>
        <v>0</v>
      </c>
      <c r="C569" s="3" t="str">
        <f>IFERROR(__xludf.dummyfunction("JOIN("". "", ARRAYFORMULA(IFERROR(LEFT(SPLIT(dados_01!C569, "" ""), 1))))"),"")</f>
        <v/>
      </c>
      <c r="D569" s="3">
        <f>dados_01!D569</f>
        <v>0</v>
      </c>
      <c r="E569" s="3" t="str">
        <f>CONCATENATE(LEFT(dados_01!E569,3),REPT("*",6),RIGHT(dados_01!E569,2))</f>
        <v>******</v>
      </c>
      <c r="F569" s="3">
        <f>dados_01!F569</f>
        <v>0</v>
      </c>
      <c r="G569" s="3">
        <f>dados_01!G569</f>
        <v>0</v>
      </c>
      <c r="H569" s="3">
        <f>dados_01!H569</f>
        <v>0</v>
      </c>
      <c r="I569" s="3">
        <f>dados_01!I569</f>
        <v>0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 spans="1:26">
      <c r="A570" s="3">
        <f>dados_01!A570</f>
        <v>0</v>
      </c>
      <c r="B570" s="3">
        <f>dados_01!B570</f>
        <v>0</v>
      </c>
      <c r="C570" s="3" t="str">
        <f>IFERROR(__xludf.dummyfunction("JOIN("". "", ARRAYFORMULA(IFERROR(LEFT(SPLIT(dados_01!C570, "" ""), 1))))"),"")</f>
        <v/>
      </c>
      <c r="D570" s="3">
        <f>dados_01!D570</f>
        <v>0</v>
      </c>
      <c r="E570" s="3" t="str">
        <f>CONCATENATE(LEFT(dados_01!E570,3),REPT("*",6),RIGHT(dados_01!E570,2))</f>
        <v>******</v>
      </c>
      <c r="F570" s="3">
        <f>dados_01!F570</f>
        <v>0</v>
      </c>
      <c r="G570" s="3">
        <f>dados_01!G570</f>
        <v>0</v>
      </c>
      <c r="H570" s="3">
        <f>dados_01!H570</f>
        <v>0</v>
      </c>
      <c r="I570" s="3">
        <f>dados_01!I570</f>
        <v>0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 spans="1:26">
      <c r="A571" s="3">
        <f>dados_01!A571</f>
        <v>0</v>
      </c>
      <c r="B571" s="3">
        <f>dados_01!B571</f>
        <v>0</v>
      </c>
      <c r="C571" s="3" t="str">
        <f>IFERROR(__xludf.dummyfunction("JOIN("". "", ARRAYFORMULA(IFERROR(LEFT(SPLIT(dados_01!C571, "" ""), 1))))"),"")</f>
        <v/>
      </c>
      <c r="D571" s="3">
        <f>dados_01!D571</f>
        <v>0</v>
      </c>
      <c r="E571" s="3" t="str">
        <f>CONCATENATE(LEFT(dados_01!E571,3),REPT("*",6),RIGHT(dados_01!E571,2))</f>
        <v>******</v>
      </c>
      <c r="F571" s="3">
        <f>dados_01!F571</f>
        <v>0</v>
      </c>
      <c r="G571" s="3">
        <f>dados_01!G571</f>
        <v>0</v>
      </c>
      <c r="H571" s="3">
        <f>dados_01!H571</f>
        <v>0</v>
      </c>
      <c r="I571" s="3">
        <f>dados_01!I571</f>
        <v>0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 spans="1:26">
      <c r="A572" s="3">
        <f>dados_01!A572</f>
        <v>0</v>
      </c>
      <c r="B572" s="3">
        <f>dados_01!B572</f>
        <v>0</v>
      </c>
      <c r="C572" s="3" t="str">
        <f>IFERROR(__xludf.dummyfunction("JOIN("". "", ARRAYFORMULA(IFERROR(LEFT(SPLIT(dados_01!C572, "" ""), 1))))"),"")</f>
        <v/>
      </c>
      <c r="D572" s="3">
        <f>dados_01!D572</f>
        <v>0</v>
      </c>
      <c r="E572" s="3" t="str">
        <f>CONCATENATE(LEFT(dados_01!E572,3),REPT("*",6),RIGHT(dados_01!E572,2))</f>
        <v>******</v>
      </c>
      <c r="F572" s="3">
        <f>dados_01!F572</f>
        <v>0</v>
      </c>
      <c r="G572" s="3">
        <f>dados_01!G572</f>
        <v>0</v>
      </c>
      <c r="H572" s="3">
        <f>dados_01!H572</f>
        <v>0</v>
      </c>
      <c r="I572" s="3">
        <f>dados_01!I572</f>
        <v>0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 spans="1:26">
      <c r="A573" s="3">
        <f>dados_01!A573</f>
        <v>0</v>
      </c>
      <c r="B573" s="3">
        <f>dados_01!B573</f>
        <v>0</v>
      </c>
      <c r="C573" s="3" t="str">
        <f>IFERROR(__xludf.dummyfunction("JOIN("". "", ARRAYFORMULA(IFERROR(LEFT(SPLIT(dados_01!C573, "" ""), 1))))"),"")</f>
        <v/>
      </c>
      <c r="D573" s="3">
        <f>dados_01!D573</f>
        <v>0</v>
      </c>
      <c r="E573" s="3" t="str">
        <f>CONCATENATE(LEFT(dados_01!E573,3),REPT("*",6),RIGHT(dados_01!E573,2))</f>
        <v>******</v>
      </c>
      <c r="F573" s="3">
        <f>dados_01!F573</f>
        <v>0</v>
      </c>
      <c r="G573" s="3">
        <f>dados_01!G573</f>
        <v>0</v>
      </c>
      <c r="H573" s="3">
        <f>dados_01!H573</f>
        <v>0</v>
      </c>
      <c r="I573" s="3">
        <f>dados_01!I573</f>
        <v>0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 spans="1:26">
      <c r="A574" s="3">
        <f>dados_01!A574</f>
        <v>0</v>
      </c>
      <c r="B574" s="3">
        <f>dados_01!B574</f>
        <v>0</v>
      </c>
      <c r="C574" s="3" t="str">
        <f>IFERROR(__xludf.dummyfunction("JOIN("". "", ARRAYFORMULA(IFERROR(LEFT(SPLIT(dados_01!C574, "" ""), 1))))"),"")</f>
        <v/>
      </c>
      <c r="D574" s="3">
        <f>dados_01!D574</f>
        <v>0</v>
      </c>
      <c r="E574" s="3" t="str">
        <f>CONCATENATE(LEFT(dados_01!E574,3),REPT("*",6),RIGHT(dados_01!E574,2))</f>
        <v>******</v>
      </c>
      <c r="F574" s="3">
        <f>dados_01!F574</f>
        <v>0</v>
      </c>
      <c r="G574" s="3">
        <f>dados_01!G574</f>
        <v>0</v>
      </c>
      <c r="H574" s="3">
        <f>dados_01!H574</f>
        <v>0</v>
      </c>
      <c r="I574" s="3">
        <f>dados_01!I574</f>
        <v>0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 spans="1:26">
      <c r="A575" s="3">
        <f>dados_01!A575</f>
        <v>0</v>
      </c>
      <c r="B575" s="3">
        <f>dados_01!B575</f>
        <v>0</v>
      </c>
      <c r="C575" s="3" t="str">
        <f>IFERROR(__xludf.dummyfunction("JOIN("". "", ARRAYFORMULA(IFERROR(LEFT(SPLIT(dados_01!C575, "" ""), 1))))"),"")</f>
        <v/>
      </c>
      <c r="D575" s="3">
        <f>dados_01!D575</f>
        <v>0</v>
      </c>
      <c r="E575" s="3" t="str">
        <f>CONCATENATE(LEFT(dados_01!E575,3),REPT("*",6),RIGHT(dados_01!E575,2))</f>
        <v>******</v>
      </c>
      <c r="F575" s="3">
        <f>dados_01!F575</f>
        <v>0</v>
      </c>
      <c r="G575" s="3">
        <f>dados_01!G575</f>
        <v>0</v>
      </c>
      <c r="H575" s="3">
        <f>dados_01!H575</f>
        <v>0</v>
      </c>
      <c r="I575" s="3">
        <f>dados_01!I575</f>
        <v>0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 spans="1:26">
      <c r="A576" s="3">
        <f>dados_01!A576</f>
        <v>0</v>
      </c>
      <c r="B576" s="3">
        <f>dados_01!B576</f>
        <v>0</v>
      </c>
      <c r="C576" s="3" t="str">
        <f>IFERROR(__xludf.dummyfunction("JOIN("". "", ARRAYFORMULA(IFERROR(LEFT(SPLIT(dados_01!C576, "" ""), 1))))"),"")</f>
        <v/>
      </c>
      <c r="D576" s="3">
        <f>dados_01!D576</f>
        <v>0</v>
      </c>
      <c r="E576" s="3" t="str">
        <f>CONCATENATE(LEFT(dados_01!E576,3),REPT("*",6),RIGHT(dados_01!E576,2))</f>
        <v>******</v>
      </c>
      <c r="F576" s="3">
        <f>dados_01!F576</f>
        <v>0</v>
      </c>
      <c r="G576" s="3">
        <f>dados_01!G576</f>
        <v>0</v>
      </c>
      <c r="H576" s="3">
        <f>dados_01!H576</f>
        <v>0</v>
      </c>
      <c r="I576" s="3">
        <f>dados_01!I576</f>
        <v>0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 spans="1:26">
      <c r="A577" s="3">
        <f>dados_01!A577</f>
        <v>0</v>
      </c>
      <c r="B577" s="3">
        <f>dados_01!B577</f>
        <v>0</v>
      </c>
      <c r="C577" s="3" t="str">
        <f>IFERROR(__xludf.dummyfunction("JOIN("". "", ARRAYFORMULA(IFERROR(LEFT(SPLIT(dados_01!C577, "" ""), 1))))"),"")</f>
        <v/>
      </c>
      <c r="D577" s="3">
        <f>dados_01!D577</f>
        <v>0</v>
      </c>
      <c r="E577" s="3" t="str">
        <f>CONCATENATE(LEFT(dados_01!E577,3),REPT("*",6),RIGHT(dados_01!E577,2))</f>
        <v>******</v>
      </c>
      <c r="F577" s="3">
        <f>dados_01!F577</f>
        <v>0</v>
      </c>
      <c r="G577" s="3">
        <f>dados_01!G577</f>
        <v>0</v>
      </c>
      <c r="H577" s="3">
        <f>dados_01!H577</f>
        <v>0</v>
      </c>
      <c r="I577" s="3">
        <f>dados_01!I577</f>
        <v>0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 spans="1:26">
      <c r="A578" s="3">
        <f>dados_01!A578</f>
        <v>0</v>
      </c>
      <c r="B578" s="3">
        <f>dados_01!B578</f>
        <v>0</v>
      </c>
      <c r="C578" s="3" t="str">
        <f>IFERROR(__xludf.dummyfunction("JOIN("". "", ARRAYFORMULA(IFERROR(LEFT(SPLIT(dados_01!C578, "" ""), 1))))"),"")</f>
        <v/>
      </c>
      <c r="D578" s="3">
        <f>dados_01!D578</f>
        <v>0</v>
      </c>
      <c r="E578" s="3" t="str">
        <f>CONCATENATE(LEFT(dados_01!E578,3),REPT("*",6),RIGHT(dados_01!E578,2))</f>
        <v>******</v>
      </c>
      <c r="F578" s="3">
        <f>dados_01!F578</f>
        <v>0</v>
      </c>
      <c r="G578" s="3">
        <f>dados_01!G578</f>
        <v>0</v>
      </c>
      <c r="H578" s="3">
        <f>dados_01!H578</f>
        <v>0</v>
      </c>
      <c r="I578" s="3">
        <f>dados_01!I578</f>
        <v>0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 spans="1:26">
      <c r="A579" s="3">
        <f>dados_01!A579</f>
        <v>0</v>
      </c>
      <c r="B579" s="3">
        <f>dados_01!B579</f>
        <v>0</v>
      </c>
      <c r="C579" s="3" t="str">
        <f>IFERROR(__xludf.dummyfunction("JOIN("". "", ARRAYFORMULA(IFERROR(LEFT(SPLIT(dados_01!C579, "" ""), 1))))"),"")</f>
        <v/>
      </c>
      <c r="D579" s="3">
        <f>dados_01!D579</f>
        <v>0</v>
      </c>
      <c r="E579" s="3" t="str">
        <f>CONCATENATE(LEFT(dados_01!E579,3),REPT("*",6),RIGHT(dados_01!E579,2))</f>
        <v>******</v>
      </c>
      <c r="F579" s="3">
        <f>dados_01!F579</f>
        <v>0</v>
      </c>
      <c r="G579" s="3">
        <f>dados_01!G579</f>
        <v>0</v>
      </c>
      <c r="H579" s="3">
        <f>dados_01!H579</f>
        <v>0</v>
      </c>
      <c r="I579" s="3">
        <f>dados_01!I579</f>
        <v>0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 spans="1:26">
      <c r="A580" s="3">
        <f>dados_01!A580</f>
        <v>0</v>
      </c>
      <c r="B580" s="3">
        <f>dados_01!B580</f>
        <v>0</v>
      </c>
      <c r="C580" s="3" t="str">
        <f>IFERROR(__xludf.dummyfunction("JOIN("". "", ARRAYFORMULA(IFERROR(LEFT(SPLIT(dados_01!C580, "" ""), 1))))"),"")</f>
        <v/>
      </c>
      <c r="D580" s="3">
        <f>dados_01!D580</f>
        <v>0</v>
      </c>
      <c r="E580" s="3" t="str">
        <f>CONCATENATE(LEFT(dados_01!E580,3),REPT("*",6),RIGHT(dados_01!E580,2))</f>
        <v>******</v>
      </c>
      <c r="F580" s="3">
        <f>dados_01!F580</f>
        <v>0</v>
      </c>
      <c r="G580" s="3">
        <f>dados_01!G580</f>
        <v>0</v>
      </c>
      <c r="H580" s="3">
        <f>dados_01!H580</f>
        <v>0</v>
      </c>
      <c r="I580" s="3">
        <f>dados_01!I580</f>
        <v>0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 spans="1:26">
      <c r="A581" s="3">
        <f>dados_01!A581</f>
        <v>0</v>
      </c>
      <c r="B581" s="3">
        <f>dados_01!B581</f>
        <v>0</v>
      </c>
      <c r="C581" s="3" t="str">
        <f>IFERROR(__xludf.dummyfunction("JOIN("". "", ARRAYFORMULA(IFERROR(LEFT(SPLIT(dados_01!C581, "" ""), 1))))"),"")</f>
        <v/>
      </c>
      <c r="D581" s="3">
        <f>dados_01!D581</f>
        <v>0</v>
      </c>
      <c r="E581" s="3" t="str">
        <f>CONCATENATE(LEFT(dados_01!E581,3),REPT("*",6),RIGHT(dados_01!E581,2))</f>
        <v>******</v>
      </c>
      <c r="F581" s="3">
        <f>dados_01!F581</f>
        <v>0</v>
      </c>
      <c r="G581" s="3">
        <f>dados_01!G581</f>
        <v>0</v>
      </c>
      <c r="H581" s="3">
        <f>dados_01!H581</f>
        <v>0</v>
      </c>
      <c r="I581" s="3">
        <f>dados_01!I581</f>
        <v>0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 spans="1:26">
      <c r="A582" s="3">
        <f>dados_01!A582</f>
        <v>0</v>
      </c>
      <c r="B582" s="3">
        <f>dados_01!B582</f>
        <v>0</v>
      </c>
      <c r="C582" s="3" t="str">
        <f>IFERROR(__xludf.dummyfunction("JOIN("". "", ARRAYFORMULA(IFERROR(LEFT(SPLIT(dados_01!C582, "" ""), 1))))"),"")</f>
        <v/>
      </c>
      <c r="D582" s="3">
        <f>dados_01!D582</f>
        <v>0</v>
      </c>
      <c r="E582" s="3" t="str">
        <f>CONCATENATE(LEFT(dados_01!E582,3),REPT("*",6),RIGHT(dados_01!E582,2))</f>
        <v>******</v>
      </c>
      <c r="F582" s="3">
        <f>dados_01!F582</f>
        <v>0</v>
      </c>
      <c r="G582" s="3">
        <f>dados_01!G582</f>
        <v>0</v>
      </c>
      <c r="H582" s="3">
        <f>dados_01!H582</f>
        <v>0</v>
      </c>
      <c r="I582" s="3">
        <f>dados_01!I582</f>
        <v>0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 spans="1:26">
      <c r="A583" s="3">
        <f>dados_01!A583</f>
        <v>0</v>
      </c>
      <c r="B583" s="3">
        <f>dados_01!B583</f>
        <v>0</v>
      </c>
      <c r="C583" s="3" t="str">
        <f>IFERROR(__xludf.dummyfunction("JOIN("". "", ARRAYFORMULA(IFERROR(LEFT(SPLIT(dados_01!C583, "" ""), 1))))"),"")</f>
        <v/>
      </c>
      <c r="D583" s="3">
        <f>dados_01!D583</f>
        <v>0</v>
      </c>
      <c r="E583" s="3" t="str">
        <f>CONCATENATE(LEFT(dados_01!E583,3),REPT("*",6),RIGHT(dados_01!E583,2))</f>
        <v>******</v>
      </c>
      <c r="F583" s="3">
        <f>dados_01!F583</f>
        <v>0</v>
      </c>
      <c r="G583" s="3">
        <f>dados_01!G583</f>
        <v>0</v>
      </c>
      <c r="H583" s="3">
        <f>dados_01!H583</f>
        <v>0</v>
      </c>
      <c r="I583" s="3">
        <f>dados_01!I583</f>
        <v>0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 spans="1:26">
      <c r="A584" s="3">
        <f>dados_01!A584</f>
        <v>0</v>
      </c>
      <c r="B584" s="3">
        <f>dados_01!B584</f>
        <v>0</v>
      </c>
      <c r="C584" s="3" t="str">
        <f>IFERROR(__xludf.dummyfunction("JOIN("". "", ARRAYFORMULA(IFERROR(LEFT(SPLIT(dados_01!C584, "" ""), 1))))"),"")</f>
        <v/>
      </c>
      <c r="D584" s="3">
        <f>dados_01!D584</f>
        <v>0</v>
      </c>
      <c r="E584" s="3" t="str">
        <f>CONCATENATE(LEFT(dados_01!E584,3),REPT("*",6),RIGHT(dados_01!E584,2))</f>
        <v>******</v>
      </c>
      <c r="F584" s="3">
        <f>dados_01!F584</f>
        <v>0</v>
      </c>
      <c r="G584" s="3">
        <f>dados_01!G584</f>
        <v>0</v>
      </c>
      <c r="H584" s="3">
        <f>dados_01!H584</f>
        <v>0</v>
      </c>
      <c r="I584" s="3">
        <f>dados_01!I584</f>
        <v>0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 spans="1:26">
      <c r="A585" s="3">
        <f>dados_01!A585</f>
        <v>0</v>
      </c>
      <c r="B585" s="3">
        <f>dados_01!B585</f>
        <v>0</v>
      </c>
      <c r="C585" s="3" t="str">
        <f>IFERROR(__xludf.dummyfunction("JOIN("". "", ARRAYFORMULA(IFERROR(LEFT(SPLIT(dados_01!C585, "" ""), 1))))"),"")</f>
        <v/>
      </c>
      <c r="D585" s="3">
        <f>dados_01!D585</f>
        <v>0</v>
      </c>
      <c r="E585" s="3" t="str">
        <f>CONCATENATE(LEFT(dados_01!E585,3),REPT("*",6),RIGHT(dados_01!E585,2))</f>
        <v>******</v>
      </c>
      <c r="F585" s="3">
        <f>dados_01!F585</f>
        <v>0</v>
      </c>
      <c r="G585" s="3">
        <f>dados_01!G585</f>
        <v>0</v>
      </c>
      <c r="H585" s="3">
        <f>dados_01!H585</f>
        <v>0</v>
      </c>
      <c r="I585" s="3">
        <f>dados_01!I585</f>
        <v>0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 spans="1:26">
      <c r="A586" s="3">
        <f>dados_01!A586</f>
        <v>0</v>
      </c>
      <c r="B586" s="3">
        <f>dados_01!B586</f>
        <v>0</v>
      </c>
      <c r="C586" s="3" t="str">
        <f>IFERROR(__xludf.dummyfunction("JOIN("". "", ARRAYFORMULA(IFERROR(LEFT(SPLIT(dados_01!C586, "" ""), 1))))"),"")</f>
        <v/>
      </c>
      <c r="D586" s="3">
        <f>dados_01!D586</f>
        <v>0</v>
      </c>
      <c r="E586" s="3" t="str">
        <f>CONCATENATE(LEFT(dados_01!E586,3),REPT("*",6),RIGHT(dados_01!E586,2))</f>
        <v>******</v>
      </c>
      <c r="F586" s="3">
        <f>dados_01!F586</f>
        <v>0</v>
      </c>
      <c r="G586" s="3">
        <f>dados_01!G586</f>
        <v>0</v>
      </c>
      <c r="H586" s="3">
        <f>dados_01!H586</f>
        <v>0</v>
      </c>
      <c r="I586" s="3">
        <f>dados_01!I586</f>
        <v>0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 spans="1:26">
      <c r="A587" s="3">
        <f>dados_01!A587</f>
        <v>0</v>
      </c>
      <c r="B587" s="3">
        <f>dados_01!B587</f>
        <v>0</v>
      </c>
      <c r="C587" s="3" t="str">
        <f>IFERROR(__xludf.dummyfunction("JOIN("". "", ARRAYFORMULA(IFERROR(LEFT(SPLIT(dados_01!C587, "" ""), 1))))"),"")</f>
        <v/>
      </c>
      <c r="D587" s="3">
        <f>dados_01!D587</f>
        <v>0</v>
      </c>
      <c r="E587" s="3" t="str">
        <f>CONCATENATE(LEFT(dados_01!E587,3),REPT("*",6),RIGHT(dados_01!E587,2))</f>
        <v>******</v>
      </c>
      <c r="F587" s="3">
        <f>dados_01!F587</f>
        <v>0</v>
      </c>
      <c r="G587" s="3">
        <f>dados_01!G587</f>
        <v>0</v>
      </c>
      <c r="H587" s="3">
        <f>dados_01!H587</f>
        <v>0</v>
      </c>
      <c r="I587" s="3">
        <f>dados_01!I587</f>
        <v>0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 spans="1:26">
      <c r="A588" s="3">
        <f>dados_01!A588</f>
        <v>0</v>
      </c>
      <c r="B588" s="3">
        <f>dados_01!B588</f>
        <v>0</v>
      </c>
      <c r="C588" s="3" t="str">
        <f>IFERROR(__xludf.dummyfunction("JOIN("". "", ARRAYFORMULA(IFERROR(LEFT(SPLIT(dados_01!C588, "" ""), 1))))"),"")</f>
        <v/>
      </c>
      <c r="D588" s="3">
        <f>dados_01!D588</f>
        <v>0</v>
      </c>
      <c r="E588" s="3" t="str">
        <f>CONCATENATE(LEFT(dados_01!E588,3),REPT("*",6),RIGHT(dados_01!E588,2))</f>
        <v>******</v>
      </c>
      <c r="F588" s="3">
        <f>dados_01!F588</f>
        <v>0</v>
      </c>
      <c r="G588" s="3">
        <f>dados_01!G588</f>
        <v>0</v>
      </c>
      <c r="H588" s="3">
        <f>dados_01!H588</f>
        <v>0</v>
      </c>
      <c r="I588" s="3">
        <f>dados_01!I588</f>
        <v>0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 spans="1:26">
      <c r="A589" s="3">
        <f>dados_01!A589</f>
        <v>0</v>
      </c>
      <c r="B589" s="3">
        <f>dados_01!B589</f>
        <v>0</v>
      </c>
      <c r="C589" s="3" t="str">
        <f>IFERROR(__xludf.dummyfunction("JOIN("". "", ARRAYFORMULA(IFERROR(LEFT(SPLIT(dados_01!C589, "" ""), 1))))"),"")</f>
        <v/>
      </c>
      <c r="D589" s="3">
        <f>dados_01!D589</f>
        <v>0</v>
      </c>
      <c r="E589" s="3" t="str">
        <f>CONCATENATE(LEFT(dados_01!E589,3),REPT("*",6),RIGHT(dados_01!E589,2))</f>
        <v>******</v>
      </c>
      <c r="F589" s="3">
        <f>dados_01!F589</f>
        <v>0</v>
      </c>
      <c r="G589" s="3">
        <f>dados_01!G589</f>
        <v>0</v>
      </c>
      <c r="H589" s="3">
        <f>dados_01!H589</f>
        <v>0</v>
      </c>
      <c r="I589" s="3">
        <f>dados_01!I589</f>
        <v>0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 spans="1:26">
      <c r="A590" s="3">
        <f>dados_01!A590</f>
        <v>0</v>
      </c>
      <c r="B590" s="3">
        <f>dados_01!B590</f>
        <v>0</v>
      </c>
      <c r="C590" s="3" t="str">
        <f>IFERROR(__xludf.dummyfunction("JOIN("". "", ARRAYFORMULA(IFERROR(LEFT(SPLIT(dados_01!C590, "" ""), 1))))"),"")</f>
        <v/>
      </c>
      <c r="D590" s="3">
        <f>dados_01!D590</f>
        <v>0</v>
      </c>
      <c r="E590" s="3" t="str">
        <f>CONCATENATE(LEFT(dados_01!E590,3),REPT("*",6),RIGHT(dados_01!E590,2))</f>
        <v>******</v>
      </c>
      <c r="F590" s="3">
        <f>dados_01!F590</f>
        <v>0</v>
      </c>
      <c r="G590" s="3">
        <f>dados_01!G590</f>
        <v>0</v>
      </c>
      <c r="H590" s="3">
        <f>dados_01!H590</f>
        <v>0</v>
      </c>
      <c r="I590" s="3">
        <f>dados_01!I590</f>
        <v>0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 spans="1:26">
      <c r="A591" s="3">
        <f>dados_01!A591</f>
        <v>0</v>
      </c>
      <c r="B591" s="3">
        <f>dados_01!B591</f>
        <v>0</v>
      </c>
      <c r="C591" s="3" t="str">
        <f>IFERROR(__xludf.dummyfunction("JOIN("". "", ARRAYFORMULA(IFERROR(LEFT(SPLIT(dados_01!C591, "" ""), 1))))"),"")</f>
        <v/>
      </c>
      <c r="D591" s="3">
        <f>dados_01!D591</f>
        <v>0</v>
      </c>
      <c r="E591" s="3" t="str">
        <f>CONCATENATE(LEFT(dados_01!E591,3),REPT("*",6),RIGHT(dados_01!E591,2))</f>
        <v>******</v>
      </c>
      <c r="F591" s="3">
        <f>dados_01!F591</f>
        <v>0</v>
      </c>
      <c r="G591" s="3">
        <f>dados_01!G591</f>
        <v>0</v>
      </c>
      <c r="H591" s="3">
        <f>dados_01!H591</f>
        <v>0</v>
      </c>
      <c r="I591" s="3">
        <f>dados_01!I591</f>
        <v>0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 spans="1:26">
      <c r="A592" s="3">
        <f>dados_01!A592</f>
        <v>0</v>
      </c>
      <c r="B592" s="3">
        <f>dados_01!B592</f>
        <v>0</v>
      </c>
      <c r="C592" s="3" t="str">
        <f>IFERROR(__xludf.dummyfunction("JOIN("". "", ARRAYFORMULA(IFERROR(LEFT(SPLIT(dados_01!C592, "" ""), 1))))"),"")</f>
        <v/>
      </c>
      <c r="D592" s="3">
        <f>dados_01!D592</f>
        <v>0</v>
      </c>
      <c r="E592" s="3" t="str">
        <f>CONCATENATE(LEFT(dados_01!E592,3),REPT("*",6),RIGHT(dados_01!E592,2))</f>
        <v>******</v>
      </c>
      <c r="F592" s="3">
        <f>dados_01!F592</f>
        <v>0</v>
      </c>
      <c r="G592" s="3">
        <f>dados_01!G592</f>
        <v>0</v>
      </c>
      <c r="H592" s="3">
        <f>dados_01!H592</f>
        <v>0</v>
      </c>
      <c r="I592" s="3">
        <f>dados_01!I592</f>
        <v>0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 spans="1:26">
      <c r="A593" s="3">
        <f>dados_01!A593</f>
        <v>0</v>
      </c>
      <c r="B593" s="3">
        <f>dados_01!B593</f>
        <v>0</v>
      </c>
      <c r="C593" s="3" t="str">
        <f>IFERROR(__xludf.dummyfunction("JOIN("". "", ARRAYFORMULA(IFERROR(LEFT(SPLIT(dados_01!C593, "" ""), 1))))"),"")</f>
        <v/>
      </c>
      <c r="D593" s="3">
        <f>dados_01!D593</f>
        <v>0</v>
      </c>
      <c r="E593" s="3" t="str">
        <f>CONCATENATE(LEFT(dados_01!E593,3),REPT("*",6),RIGHT(dados_01!E593,2))</f>
        <v>******</v>
      </c>
      <c r="F593" s="3">
        <f>dados_01!F593</f>
        <v>0</v>
      </c>
      <c r="G593" s="3">
        <f>dados_01!G593</f>
        <v>0</v>
      </c>
      <c r="H593" s="3">
        <f>dados_01!H593</f>
        <v>0</v>
      </c>
      <c r="I593" s="3">
        <f>dados_01!I593</f>
        <v>0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 spans="1:26">
      <c r="A594" s="3">
        <f>dados_01!A594</f>
        <v>0</v>
      </c>
      <c r="B594" s="3">
        <f>dados_01!B594</f>
        <v>0</v>
      </c>
      <c r="C594" s="3" t="str">
        <f>IFERROR(__xludf.dummyfunction("JOIN("". "", ARRAYFORMULA(IFERROR(LEFT(SPLIT(dados_01!C594, "" ""), 1))))"),"")</f>
        <v/>
      </c>
      <c r="D594" s="3">
        <f>dados_01!D594</f>
        <v>0</v>
      </c>
      <c r="E594" s="3" t="str">
        <f>CONCATENATE(LEFT(dados_01!E594,3),REPT("*",6),RIGHT(dados_01!E594,2))</f>
        <v>******</v>
      </c>
      <c r="F594" s="3">
        <f>dados_01!F594</f>
        <v>0</v>
      </c>
      <c r="G594" s="3">
        <f>dados_01!G594</f>
        <v>0</v>
      </c>
      <c r="H594" s="3">
        <f>dados_01!H594</f>
        <v>0</v>
      </c>
      <c r="I594" s="3">
        <f>dados_01!I594</f>
        <v>0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 spans="1:26">
      <c r="A595" s="3">
        <f>dados_01!A595</f>
        <v>0</v>
      </c>
      <c r="B595" s="3">
        <f>dados_01!B595</f>
        <v>0</v>
      </c>
      <c r="C595" s="3" t="str">
        <f>IFERROR(__xludf.dummyfunction("JOIN("". "", ARRAYFORMULA(IFERROR(LEFT(SPLIT(dados_01!C595, "" ""), 1))))"),"")</f>
        <v/>
      </c>
      <c r="D595" s="3">
        <f>dados_01!D595</f>
        <v>0</v>
      </c>
      <c r="E595" s="3" t="str">
        <f>CONCATENATE(LEFT(dados_01!E595,3),REPT("*",6),RIGHT(dados_01!E595,2))</f>
        <v>******</v>
      </c>
      <c r="F595" s="3">
        <f>dados_01!F595</f>
        <v>0</v>
      </c>
      <c r="G595" s="3">
        <f>dados_01!G595</f>
        <v>0</v>
      </c>
      <c r="H595" s="3">
        <f>dados_01!H595</f>
        <v>0</v>
      </c>
      <c r="I595" s="3">
        <f>dados_01!I595</f>
        <v>0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 spans="1:26">
      <c r="A596" s="3">
        <f>dados_01!A596</f>
        <v>0</v>
      </c>
      <c r="B596" s="3">
        <f>dados_01!B596</f>
        <v>0</v>
      </c>
      <c r="C596" s="3" t="str">
        <f>IFERROR(__xludf.dummyfunction("JOIN("". "", ARRAYFORMULA(IFERROR(LEFT(SPLIT(dados_01!C596, "" ""), 1))))"),"")</f>
        <v/>
      </c>
      <c r="D596" s="3">
        <f>dados_01!D596</f>
        <v>0</v>
      </c>
      <c r="E596" s="3" t="str">
        <f>CONCATENATE(LEFT(dados_01!E596,3),REPT("*",6),RIGHT(dados_01!E596,2))</f>
        <v>******</v>
      </c>
      <c r="F596" s="3">
        <f>dados_01!F596</f>
        <v>0</v>
      </c>
      <c r="G596" s="3">
        <f>dados_01!G596</f>
        <v>0</v>
      </c>
      <c r="H596" s="3">
        <f>dados_01!H596</f>
        <v>0</v>
      </c>
      <c r="I596" s="3">
        <f>dados_01!I596</f>
        <v>0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 spans="1:26">
      <c r="A597" s="3">
        <f>dados_01!A597</f>
        <v>0</v>
      </c>
      <c r="B597" s="3">
        <f>dados_01!B597</f>
        <v>0</v>
      </c>
      <c r="C597" s="3" t="str">
        <f>IFERROR(__xludf.dummyfunction("JOIN("". "", ARRAYFORMULA(IFERROR(LEFT(SPLIT(dados_01!C597, "" ""), 1))))"),"")</f>
        <v/>
      </c>
      <c r="D597" s="3">
        <f>dados_01!D597</f>
        <v>0</v>
      </c>
      <c r="E597" s="3" t="str">
        <f>CONCATENATE(LEFT(dados_01!E597,3),REPT("*",6),RIGHT(dados_01!E597,2))</f>
        <v>******</v>
      </c>
      <c r="F597" s="3">
        <f>dados_01!F597</f>
        <v>0</v>
      </c>
      <c r="G597" s="3">
        <f>dados_01!G597</f>
        <v>0</v>
      </c>
      <c r="H597" s="3">
        <f>dados_01!H597</f>
        <v>0</v>
      </c>
      <c r="I597" s="3">
        <f>dados_01!I597</f>
        <v>0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 spans="1:26">
      <c r="A598" s="3">
        <f>dados_01!A598</f>
        <v>0</v>
      </c>
      <c r="B598" s="3">
        <f>dados_01!B598</f>
        <v>0</v>
      </c>
      <c r="C598" s="3" t="str">
        <f>IFERROR(__xludf.dummyfunction("JOIN("". "", ARRAYFORMULA(IFERROR(LEFT(SPLIT(dados_01!C598, "" ""), 1))))"),"")</f>
        <v/>
      </c>
      <c r="D598" s="3">
        <f>dados_01!D598</f>
        <v>0</v>
      </c>
      <c r="E598" s="3" t="str">
        <f>CONCATENATE(LEFT(dados_01!E598,3),REPT("*",6),RIGHT(dados_01!E598,2))</f>
        <v>******</v>
      </c>
      <c r="F598" s="3">
        <f>dados_01!F598</f>
        <v>0</v>
      </c>
      <c r="G598" s="3">
        <f>dados_01!G598</f>
        <v>0</v>
      </c>
      <c r="H598" s="3">
        <f>dados_01!H598</f>
        <v>0</v>
      </c>
      <c r="I598" s="3">
        <f>dados_01!I598</f>
        <v>0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 spans="1:26">
      <c r="A599" s="3">
        <f>dados_01!A599</f>
        <v>0</v>
      </c>
      <c r="B599" s="3">
        <f>dados_01!B599</f>
        <v>0</v>
      </c>
      <c r="C599" s="3" t="str">
        <f>IFERROR(__xludf.dummyfunction("JOIN("". "", ARRAYFORMULA(IFERROR(LEFT(SPLIT(dados_01!C599, "" ""), 1))))"),"")</f>
        <v/>
      </c>
      <c r="D599" s="3">
        <f>dados_01!D599</f>
        <v>0</v>
      </c>
      <c r="E599" s="3" t="str">
        <f>CONCATENATE(LEFT(dados_01!E599,3),REPT("*",6),RIGHT(dados_01!E599,2))</f>
        <v>******</v>
      </c>
      <c r="F599" s="3">
        <f>dados_01!F599</f>
        <v>0</v>
      </c>
      <c r="G599" s="3">
        <f>dados_01!G599</f>
        <v>0</v>
      </c>
      <c r="H599" s="3">
        <f>dados_01!H599</f>
        <v>0</v>
      </c>
      <c r="I599" s="3">
        <f>dados_01!I599</f>
        <v>0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 spans="1:26">
      <c r="A600" s="3">
        <f>dados_01!A600</f>
        <v>0</v>
      </c>
      <c r="B600" s="3">
        <f>dados_01!B600</f>
        <v>0</v>
      </c>
      <c r="C600" s="3" t="str">
        <f>IFERROR(__xludf.dummyfunction("JOIN("". "", ARRAYFORMULA(IFERROR(LEFT(SPLIT(dados_01!C600, "" ""), 1))))"),"")</f>
        <v/>
      </c>
      <c r="D600" s="3">
        <f>dados_01!D600</f>
        <v>0</v>
      </c>
      <c r="E600" s="3" t="str">
        <f>CONCATENATE(LEFT(dados_01!E600,3),REPT("*",6),RIGHT(dados_01!E600,2))</f>
        <v>******</v>
      </c>
      <c r="F600" s="3">
        <f>dados_01!F600</f>
        <v>0</v>
      </c>
      <c r="G600" s="3">
        <f>dados_01!G600</f>
        <v>0</v>
      </c>
      <c r="H600" s="3">
        <f>dados_01!H600</f>
        <v>0</v>
      </c>
      <c r="I600" s="3">
        <f>dados_01!I600</f>
        <v>0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 spans="1:26">
      <c r="A601" s="3">
        <f>dados_01!A601</f>
        <v>0</v>
      </c>
      <c r="B601" s="3">
        <f>dados_01!B601</f>
        <v>0</v>
      </c>
      <c r="C601" s="3" t="str">
        <f>IFERROR(__xludf.dummyfunction("JOIN("". "", ARRAYFORMULA(IFERROR(LEFT(SPLIT(dados_01!C601, "" ""), 1))))"),"")</f>
        <v/>
      </c>
      <c r="D601" s="3">
        <f>dados_01!D601</f>
        <v>0</v>
      </c>
      <c r="E601" s="3" t="str">
        <f>CONCATENATE(LEFT(dados_01!E601,3),REPT("*",6),RIGHT(dados_01!E601,2))</f>
        <v>******</v>
      </c>
      <c r="F601" s="3">
        <f>dados_01!F601</f>
        <v>0</v>
      </c>
      <c r="G601" s="3">
        <f>dados_01!G601</f>
        <v>0</v>
      </c>
      <c r="H601" s="3">
        <f>dados_01!H601</f>
        <v>0</v>
      </c>
      <c r="I601" s="3">
        <f>dados_01!I601</f>
        <v>0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 spans="1:26">
      <c r="A602" s="3">
        <f>dados_01!A602</f>
        <v>0</v>
      </c>
      <c r="B602" s="3">
        <f>dados_01!B602</f>
        <v>0</v>
      </c>
      <c r="C602" s="3" t="str">
        <f>IFERROR(__xludf.dummyfunction("JOIN("". "", ARRAYFORMULA(IFERROR(LEFT(SPLIT(dados_01!C602, "" ""), 1))))"),"")</f>
        <v/>
      </c>
      <c r="D602" s="3">
        <f>dados_01!D602</f>
        <v>0</v>
      </c>
      <c r="E602" s="3" t="str">
        <f>CONCATENATE(LEFT(dados_01!E602,3),REPT("*",6),RIGHT(dados_01!E602,2))</f>
        <v>******</v>
      </c>
      <c r="F602" s="3">
        <f>dados_01!F602</f>
        <v>0</v>
      </c>
      <c r="G602" s="3">
        <f>dados_01!G602</f>
        <v>0</v>
      </c>
      <c r="H602" s="3">
        <f>dados_01!H602</f>
        <v>0</v>
      </c>
      <c r="I602" s="3">
        <f>dados_01!I602</f>
        <v>0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 spans="1:26">
      <c r="A603" s="3">
        <f>dados_01!A603</f>
        <v>0</v>
      </c>
      <c r="B603" s="3">
        <f>dados_01!B603</f>
        <v>0</v>
      </c>
      <c r="C603" s="3" t="str">
        <f>IFERROR(__xludf.dummyfunction("JOIN("". "", ARRAYFORMULA(IFERROR(LEFT(SPLIT(dados_01!C603, "" ""), 1))))"),"")</f>
        <v/>
      </c>
      <c r="D603" s="3">
        <f>dados_01!D603</f>
        <v>0</v>
      </c>
      <c r="E603" s="3" t="str">
        <f>CONCATENATE(LEFT(dados_01!E603,3),REPT("*",6),RIGHT(dados_01!E603,2))</f>
        <v>******</v>
      </c>
      <c r="F603" s="3">
        <f>dados_01!F603</f>
        <v>0</v>
      </c>
      <c r="G603" s="3">
        <f>dados_01!G603</f>
        <v>0</v>
      </c>
      <c r="H603" s="3">
        <f>dados_01!H603</f>
        <v>0</v>
      </c>
      <c r="I603" s="3">
        <f>dados_01!I603</f>
        <v>0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 spans="1:26">
      <c r="A604" s="3">
        <f>dados_01!A604</f>
        <v>0</v>
      </c>
      <c r="B604" s="3">
        <f>dados_01!B604</f>
        <v>0</v>
      </c>
      <c r="C604" s="3" t="str">
        <f>IFERROR(__xludf.dummyfunction("JOIN("". "", ARRAYFORMULA(IFERROR(LEFT(SPLIT(dados_01!C604, "" ""), 1))))"),"")</f>
        <v/>
      </c>
      <c r="D604" s="3">
        <f>dados_01!D604</f>
        <v>0</v>
      </c>
      <c r="E604" s="3" t="str">
        <f>CONCATENATE(LEFT(dados_01!E604,3),REPT("*",6),RIGHT(dados_01!E604,2))</f>
        <v>******</v>
      </c>
      <c r="F604" s="3">
        <f>dados_01!F604</f>
        <v>0</v>
      </c>
      <c r="G604" s="3">
        <f>dados_01!G604</f>
        <v>0</v>
      </c>
      <c r="H604" s="3">
        <f>dados_01!H604</f>
        <v>0</v>
      </c>
      <c r="I604" s="3">
        <f>dados_01!I604</f>
        <v>0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 spans="1:26">
      <c r="A605" s="3">
        <f>dados_01!A605</f>
        <v>0</v>
      </c>
      <c r="B605" s="3">
        <f>dados_01!B605</f>
        <v>0</v>
      </c>
      <c r="C605" s="3" t="str">
        <f>IFERROR(__xludf.dummyfunction("JOIN("". "", ARRAYFORMULA(IFERROR(LEFT(SPLIT(dados_01!C605, "" ""), 1))))"),"")</f>
        <v/>
      </c>
      <c r="D605" s="3">
        <f>dados_01!D605</f>
        <v>0</v>
      </c>
      <c r="E605" s="3" t="str">
        <f>CONCATENATE(LEFT(dados_01!E605,3),REPT("*",6),RIGHT(dados_01!E605,2))</f>
        <v>******</v>
      </c>
      <c r="F605" s="3">
        <f>dados_01!F605</f>
        <v>0</v>
      </c>
      <c r="G605" s="3">
        <f>dados_01!G605</f>
        <v>0</v>
      </c>
      <c r="H605" s="3">
        <f>dados_01!H605</f>
        <v>0</v>
      </c>
      <c r="I605" s="3">
        <f>dados_01!I605</f>
        <v>0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 spans="1:26">
      <c r="A606" s="3">
        <f>dados_01!A606</f>
        <v>0</v>
      </c>
      <c r="B606" s="3">
        <f>dados_01!B606</f>
        <v>0</v>
      </c>
      <c r="C606" s="3" t="str">
        <f>IFERROR(__xludf.dummyfunction("JOIN("". "", ARRAYFORMULA(IFERROR(LEFT(SPLIT(dados_01!C606, "" ""), 1))))"),"")</f>
        <v/>
      </c>
      <c r="D606" s="3">
        <f>dados_01!D606</f>
        <v>0</v>
      </c>
      <c r="E606" s="3" t="str">
        <f>CONCATENATE(LEFT(dados_01!E606,3),REPT("*",6),RIGHT(dados_01!E606,2))</f>
        <v>******</v>
      </c>
      <c r="F606" s="3">
        <f>dados_01!F606</f>
        <v>0</v>
      </c>
      <c r="G606" s="3">
        <f>dados_01!G606</f>
        <v>0</v>
      </c>
      <c r="H606" s="3">
        <f>dados_01!H606</f>
        <v>0</v>
      </c>
      <c r="I606" s="3">
        <f>dados_01!I606</f>
        <v>0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 spans="1:26">
      <c r="A607" s="3">
        <f>dados_01!A607</f>
        <v>0</v>
      </c>
      <c r="B607" s="3">
        <f>dados_01!B607</f>
        <v>0</v>
      </c>
      <c r="C607" s="3" t="str">
        <f>IFERROR(__xludf.dummyfunction("JOIN("". "", ARRAYFORMULA(IFERROR(LEFT(SPLIT(dados_01!C607, "" ""), 1))))"),"")</f>
        <v/>
      </c>
      <c r="D607" s="3">
        <f>dados_01!D607</f>
        <v>0</v>
      </c>
      <c r="E607" s="3" t="str">
        <f>CONCATENATE(LEFT(dados_01!E607,3),REPT("*",6),RIGHT(dados_01!E607,2))</f>
        <v>******</v>
      </c>
      <c r="F607" s="3">
        <f>dados_01!F607</f>
        <v>0</v>
      </c>
      <c r="G607" s="3">
        <f>dados_01!G607</f>
        <v>0</v>
      </c>
      <c r="H607" s="3">
        <f>dados_01!H607</f>
        <v>0</v>
      </c>
      <c r="I607" s="3">
        <f>dados_01!I607</f>
        <v>0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 spans="1:26">
      <c r="A608" s="3">
        <f>dados_01!A608</f>
        <v>0</v>
      </c>
      <c r="B608" s="3">
        <f>dados_01!B608</f>
        <v>0</v>
      </c>
      <c r="C608" s="3" t="str">
        <f>IFERROR(__xludf.dummyfunction("JOIN("". "", ARRAYFORMULA(IFERROR(LEFT(SPLIT(dados_01!C608, "" ""), 1))))"),"")</f>
        <v/>
      </c>
      <c r="D608" s="3">
        <f>dados_01!D608</f>
        <v>0</v>
      </c>
      <c r="E608" s="3" t="str">
        <f>CONCATENATE(LEFT(dados_01!E608,3),REPT("*",6),RIGHT(dados_01!E608,2))</f>
        <v>******</v>
      </c>
      <c r="F608" s="3">
        <f>dados_01!F608</f>
        <v>0</v>
      </c>
      <c r="G608" s="3">
        <f>dados_01!G608</f>
        <v>0</v>
      </c>
      <c r="H608" s="3">
        <f>dados_01!H608</f>
        <v>0</v>
      </c>
      <c r="I608" s="3">
        <f>dados_01!I608</f>
        <v>0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 spans="1:26">
      <c r="A609" s="3">
        <f>dados_01!A609</f>
        <v>0</v>
      </c>
      <c r="B609" s="3">
        <f>dados_01!B609</f>
        <v>0</v>
      </c>
      <c r="C609" s="3" t="str">
        <f>IFERROR(__xludf.dummyfunction("JOIN("". "", ARRAYFORMULA(IFERROR(LEFT(SPLIT(dados_01!C609, "" ""), 1))))"),"")</f>
        <v/>
      </c>
      <c r="D609" s="3">
        <f>dados_01!D609</f>
        <v>0</v>
      </c>
      <c r="E609" s="3" t="str">
        <f>CONCATENATE(LEFT(dados_01!E609,3),REPT("*",6),RIGHT(dados_01!E609,2))</f>
        <v>******</v>
      </c>
      <c r="F609" s="3">
        <f>dados_01!F609</f>
        <v>0</v>
      </c>
      <c r="G609" s="3">
        <f>dados_01!G609</f>
        <v>0</v>
      </c>
      <c r="H609" s="3">
        <f>dados_01!H609</f>
        <v>0</v>
      </c>
      <c r="I609" s="3">
        <f>dados_01!I609</f>
        <v>0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 spans="1:26">
      <c r="A610" s="3">
        <f>dados_01!A610</f>
        <v>0</v>
      </c>
      <c r="B610" s="3">
        <f>dados_01!B610</f>
        <v>0</v>
      </c>
      <c r="C610" s="3" t="str">
        <f>IFERROR(__xludf.dummyfunction("JOIN("". "", ARRAYFORMULA(IFERROR(LEFT(SPLIT(dados_01!C610, "" ""), 1))))"),"")</f>
        <v/>
      </c>
      <c r="D610" s="3">
        <f>dados_01!D610</f>
        <v>0</v>
      </c>
      <c r="E610" s="3" t="str">
        <f>CONCATENATE(LEFT(dados_01!E610,3),REPT("*",6),RIGHT(dados_01!E610,2))</f>
        <v>******</v>
      </c>
      <c r="F610" s="3">
        <f>dados_01!F610</f>
        <v>0</v>
      </c>
      <c r="G610" s="3">
        <f>dados_01!G610</f>
        <v>0</v>
      </c>
      <c r="H610" s="3">
        <f>dados_01!H610</f>
        <v>0</v>
      </c>
      <c r="I610" s="3">
        <f>dados_01!I610</f>
        <v>0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 spans="1:26">
      <c r="A611" s="3">
        <f>dados_01!A611</f>
        <v>0</v>
      </c>
      <c r="B611" s="3">
        <f>dados_01!B611</f>
        <v>0</v>
      </c>
      <c r="C611" s="3" t="str">
        <f>IFERROR(__xludf.dummyfunction("JOIN("". "", ARRAYFORMULA(IFERROR(LEFT(SPLIT(dados_01!C611, "" ""), 1))))"),"")</f>
        <v/>
      </c>
      <c r="D611" s="3">
        <f>dados_01!D611</f>
        <v>0</v>
      </c>
      <c r="E611" s="3" t="str">
        <f>CONCATENATE(LEFT(dados_01!E611,3),REPT("*",6),RIGHT(dados_01!E611,2))</f>
        <v>******</v>
      </c>
      <c r="F611" s="3">
        <f>dados_01!F611</f>
        <v>0</v>
      </c>
      <c r="G611" s="3">
        <f>dados_01!G611</f>
        <v>0</v>
      </c>
      <c r="H611" s="3">
        <f>dados_01!H611</f>
        <v>0</v>
      </c>
      <c r="I611" s="3">
        <f>dados_01!I611</f>
        <v>0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 spans="1:26">
      <c r="A612" s="3">
        <f>dados_01!A612</f>
        <v>0</v>
      </c>
      <c r="B612" s="3">
        <f>dados_01!B612</f>
        <v>0</v>
      </c>
      <c r="C612" s="3" t="str">
        <f>IFERROR(__xludf.dummyfunction("JOIN("". "", ARRAYFORMULA(IFERROR(LEFT(SPLIT(dados_01!C612, "" ""), 1))))"),"")</f>
        <v/>
      </c>
      <c r="D612" s="3">
        <f>dados_01!D612</f>
        <v>0</v>
      </c>
      <c r="E612" s="3" t="str">
        <f>CONCATENATE(LEFT(dados_01!E612,3),REPT("*",6),RIGHT(dados_01!E612,2))</f>
        <v>******</v>
      </c>
      <c r="F612" s="3">
        <f>dados_01!F612</f>
        <v>0</v>
      </c>
      <c r="G612" s="3">
        <f>dados_01!G612</f>
        <v>0</v>
      </c>
      <c r="H612" s="3">
        <f>dados_01!H612</f>
        <v>0</v>
      </c>
      <c r="I612" s="3">
        <f>dados_01!I612</f>
        <v>0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 spans="1:26">
      <c r="A613" s="3">
        <f>dados_01!A613</f>
        <v>0</v>
      </c>
      <c r="B613" s="3">
        <f>dados_01!B613</f>
        <v>0</v>
      </c>
      <c r="C613" s="3" t="str">
        <f>IFERROR(__xludf.dummyfunction("JOIN("". "", ARRAYFORMULA(IFERROR(LEFT(SPLIT(dados_01!C613, "" ""), 1))))"),"")</f>
        <v/>
      </c>
      <c r="D613" s="3">
        <f>dados_01!D613</f>
        <v>0</v>
      </c>
      <c r="E613" s="3" t="str">
        <f>CONCATENATE(LEFT(dados_01!E613,3),REPT("*",6),RIGHT(dados_01!E613,2))</f>
        <v>******</v>
      </c>
      <c r="F613" s="3">
        <f>dados_01!F613</f>
        <v>0</v>
      </c>
      <c r="G613" s="3">
        <f>dados_01!G613</f>
        <v>0</v>
      </c>
      <c r="H613" s="3">
        <f>dados_01!H613</f>
        <v>0</v>
      </c>
      <c r="I613" s="3">
        <f>dados_01!I613</f>
        <v>0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 spans="1:26">
      <c r="A614" s="3">
        <f>dados_01!A614</f>
        <v>0</v>
      </c>
      <c r="B614" s="3">
        <f>dados_01!B614</f>
        <v>0</v>
      </c>
      <c r="C614" s="3" t="str">
        <f>IFERROR(__xludf.dummyfunction("JOIN("". "", ARRAYFORMULA(IFERROR(LEFT(SPLIT(dados_01!C614, "" ""), 1))))"),"")</f>
        <v/>
      </c>
      <c r="D614" s="3">
        <f>dados_01!D614</f>
        <v>0</v>
      </c>
      <c r="E614" s="3" t="str">
        <f>CONCATENATE(LEFT(dados_01!E614,3),REPT("*",6),RIGHT(dados_01!E614,2))</f>
        <v>******</v>
      </c>
      <c r="F614" s="3">
        <f>dados_01!F614</f>
        <v>0</v>
      </c>
      <c r="G614" s="3">
        <f>dados_01!G614</f>
        <v>0</v>
      </c>
      <c r="H614" s="3">
        <f>dados_01!H614</f>
        <v>0</v>
      </c>
      <c r="I614" s="3">
        <f>dados_01!I614</f>
        <v>0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 spans="1:26">
      <c r="A615" s="3">
        <f>dados_01!A615</f>
        <v>0</v>
      </c>
      <c r="B615" s="3">
        <f>dados_01!B615</f>
        <v>0</v>
      </c>
      <c r="C615" s="3" t="str">
        <f>IFERROR(__xludf.dummyfunction("JOIN("". "", ARRAYFORMULA(IFERROR(LEFT(SPLIT(dados_01!C615, "" ""), 1))))"),"")</f>
        <v/>
      </c>
      <c r="D615" s="3">
        <f>dados_01!D615</f>
        <v>0</v>
      </c>
      <c r="E615" s="3" t="str">
        <f>CONCATENATE(LEFT(dados_01!E615,3),REPT("*",6),RIGHT(dados_01!E615,2))</f>
        <v>******</v>
      </c>
      <c r="F615" s="3">
        <f>dados_01!F615</f>
        <v>0</v>
      </c>
      <c r="G615" s="3">
        <f>dados_01!G615</f>
        <v>0</v>
      </c>
      <c r="H615" s="3">
        <f>dados_01!H615</f>
        <v>0</v>
      </c>
      <c r="I615" s="3">
        <f>dados_01!I615</f>
        <v>0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 spans="1:26">
      <c r="A616" s="3">
        <f>dados_01!A616</f>
        <v>0</v>
      </c>
      <c r="B616" s="3">
        <f>dados_01!B616</f>
        <v>0</v>
      </c>
      <c r="C616" s="3" t="str">
        <f>IFERROR(__xludf.dummyfunction("JOIN("". "", ARRAYFORMULA(IFERROR(LEFT(SPLIT(dados_01!C616, "" ""), 1))))"),"")</f>
        <v/>
      </c>
      <c r="D616" s="3">
        <f>dados_01!D616</f>
        <v>0</v>
      </c>
      <c r="E616" s="3" t="str">
        <f>CONCATENATE(LEFT(dados_01!E616,3),REPT("*",6),RIGHT(dados_01!E616,2))</f>
        <v>******</v>
      </c>
      <c r="F616" s="3">
        <f>dados_01!F616</f>
        <v>0</v>
      </c>
      <c r="G616" s="3">
        <f>dados_01!G616</f>
        <v>0</v>
      </c>
      <c r="H616" s="3">
        <f>dados_01!H616</f>
        <v>0</v>
      </c>
      <c r="I616" s="3">
        <f>dados_01!I616</f>
        <v>0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 spans="1:26">
      <c r="A617" s="3">
        <f>dados_01!A617</f>
        <v>0</v>
      </c>
      <c r="B617" s="3">
        <f>dados_01!B617</f>
        <v>0</v>
      </c>
      <c r="C617" s="3" t="str">
        <f>IFERROR(__xludf.dummyfunction("JOIN("". "", ARRAYFORMULA(IFERROR(LEFT(SPLIT(dados_01!C617, "" ""), 1))))"),"")</f>
        <v/>
      </c>
      <c r="D617" s="3">
        <f>dados_01!D617</f>
        <v>0</v>
      </c>
      <c r="E617" s="3" t="str">
        <f>CONCATENATE(LEFT(dados_01!E617,3),REPT("*",6),RIGHT(dados_01!E617,2))</f>
        <v>******</v>
      </c>
      <c r="F617" s="3">
        <f>dados_01!F617</f>
        <v>0</v>
      </c>
      <c r="G617" s="3">
        <f>dados_01!G617</f>
        <v>0</v>
      </c>
      <c r="H617" s="3">
        <f>dados_01!H617</f>
        <v>0</v>
      </c>
      <c r="I617" s="3">
        <f>dados_01!I617</f>
        <v>0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 spans="1:26">
      <c r="A618" s="3">
        <f>dados_01!A618</f>
        <v>0</v>
      </c>
      <c r="B618" s="3">
        <f>dados_01!B618</f>
        <v>0</v>
      </c>
      <c r="C618" s="3" t="str">
        <f>IFERROR(__xludf.dummyfunction("JOIN("". "", ARRAYFORMULA(IFERROR(LEFT(SPLIT(dados_01!C618, "" ""), 1))))"),"")</f>
        <v/>
      </c>
      <c r="D618" s="3">
        <f>dados_01!D618</f>
        <v>0</v>
      </c>
      <c r="E618" s="3" t="str">
        <f>CONCATENATE(LEFT(dados_01!E618,3),REPT("*",6),RIGHT(dados_01!E618,2))</f>
        <v>******</v>
      </c>
      <c r="F618" s="3">
        <f>dados_01!F618</f>
        <v>0</v>
      </c>
      <c r="G618" s="3">
        <f>dados_01!G618</f>
        <v>0</v>
      </c>
      <c r="H618" s="3">
        <f>dados_01!H618</f>
        <v>0</v>
      </c>
      <c r="I618" s="3">
        <f>dados_01!I618</f>
        <v>0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 spans="1:26">
      <c r="A619" s="3">
        <f>dados_01!A619</f>
        <v>0</v>
      </c>
      <c r="B619" s="3">
        <f>dados_01!B619</f>
        <v>0</v>
      </c>
      <c r="C619" s="3" t="str">
        <f>IFERROR(__xludf.dummyfunction("JOIN("". "", ARRAYFORMULA(IFERROR(LEFT(SPLIT(dados_01!C619, "" ""), 1))))"),"")</f>
        <v/>
      </c>
      <c r="D619" s="3">
        <f>dados_01!D619</f>
        <v>0</v>
      </c>
      <c r="E619" s="3" t="str">
        <f>CONCATENATE(LEFT(dados_01!E619,3),REPT("*",6),RIGHT(dados_01!E619,2))</f>
        <v>******</v>
      </c>
      <c r="F619" s="3">
        <f>dados_01!F619</f>
        <v>0</v>
      </c>
      <c r="G619" s="3">
        <f>dados_01!G619</f>
        <v>0</v>
      </c>
      <c r="H619" s="3">
        <f>dados_01!H619</f>
        <v>0</v>
      </c>
      <c r="I619" s="3">
        <f>dados_01!I619</f>
        <v>0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 spans="1:26">
      <c r="A620" s="3">
        <f>dados_01!A620</f>
        <v>0</v>
      </c>
      <c r="B620" s="3">
        <f>dados_01!B620</f>
        <v>0</v>
      </c>
      <c r="C620" s="3" t="str">
        <f>IFERROR(__xludf.dummyfunction("JOIN("". "", ARRAYFORMULA(IFERROR(LEFT(SPLIT(dados_01!C620, "" ""), 1))))"),"")</f>
        <v/>
      </c>
      <c r="D620" s="3">
        <f>dados_01!D620</f>
        <v>0</v>
      </c>
      <c r="E620" s="3" t="str">
        <f>CONCATENATE(LEFT(dados_01!E620,3),REPT("*",6),RIGHT(dados_01!E620,2))</f>
        <v>******</v>
      </c>
      <c r="F620" s="3">
        <f>dados_01!F620</f>
        <v>0</v>
      </c>
      <c r="G620" s="3">
        <f>dados_01!G620</f>
        <v>0</v>
      </c>
      <c r="H620" s="3">
        <f>dados_01!H620</f>
        <v>0</v>
      </c>
      <c r="I620" s="3">
        <f>dados_01!I620</f>
        <v>0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 spans="1:26">
      <c r="A621" s="3">
        <f>dados_01!A621</f>
        <v>0</v>
      </c>
      <c r="B621" s="3">
        <f>dados_01!B621</f>
        <v>0</v>
      </c>
      <c r="C621" s="3" t="str">
        <f>IFERROR(__xludf.dummyfunction("JOIN("". "", ARRAYFORMULA(IFERROR(LEFT(SPLIT(dados_01!C621, "" ""), 1))))"),"")</f>
        <v/>
      </c>
      <c r="D621" s="3">
        <f>dados_01!D621</f>
        <v>0</v>
      </c>
      <c r="E621" s="3" t="str">
        <f>CONCATENATE(LEFT(dados_01!E621,3),REPT("*",6),RIGHT(dados_01!E621,2))</f>
        <v>******</v>
      </c>
      <c r="F621" s="3">
        <f>dados_01!F621</f>
        <v>0</v>
      </c>
      <c r="G621" s="3">
        <f>dados_01!G621</f>
        <v>0</v>
      </c>
      <c r="H621" s="3">
        <f>dados_01!H621</f>
        <v>0</v>
      </c>
      <c r="I621" s="3">
        <f>dados_01!I621</f>
        <v>0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 spans="1:26">
      <c r="A622" s="3">
        <f>dados_01!A622</f>
        <v>0</v>
      </c>
      <c r="B622" s="3">
        <f>dados_01!B622</f>
        <v>0</v>
      </c>
      <c r="C622" s="3" t="str">
        <f>IFERROR(__xludf.dummyfunction("JOIN("". "", ARRAYFORMULA(IFERROR(LEFT(SPLIT(dados_01!C622, "" ""), 1))))"),"")</f>
        <v/>
      </c>
      <c r="D622" s="3">
        <f>dados_01!D622</f>
        <v>0</v>
      </c>
      <c r="E622" s="3" t="str">
        <f>CONCATENATE(LEFT(dados_01!E622,3),REPT("*",6),RIGHT(dados_01!E622,2))</f>
        <v>******</v>
      </c>
      <c r="F622" s="3">
        <f>dados_01!F622</f>
        <v>0</v>
      </c>
      <c r="G622" s="3">
        <f>dados_01!G622</f>
        <v>0</v>
      </c>
      <c r="H622" s="3">
        <f>dados_01!H622</f>
        <v>0</v>
      </c>
      <c r="I622" s="3">
        <f>dados_01!I622</f>
        <v>0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 spans="1:26">
      <c r="A623" s="3">
        <f>dados_01!A623</f>
        <v>0</v>
      </c>
      <c r="B623" s="3">
        <f>dados_01!B623</f>
        <v>0</v>
      </c>
      <c r="C623" s="3" t="str">
        <f>IFERROR(__xludf.dummyfunction("JOIN("". "", ARRAYFORMULA(IFERROR(LEFT(SPLIT(dados_01!C623, "" ""), 1))))"),"")</f>
        <v/>
      </c>
      <c r="D623" s="3">
        <f>dados_01!D623</f>
        <v>0</v>
      </c>
      <c r="E623" s="3" t="str">
        <f>CONCATENATE(LEFT(dados_01!E623,3),REPT("*",6),RIGHT(dados_01!E623,2))</f>
        <v>******</v>
      </c>
      <c r="F623" s="3">
        <f>dados_01!F623</f>
        <v>0</v>
      </c>
      <c r="G623" s="3">
        <f>dados_01!G623</f>
        <v>0</v>
      </c>
      <c r="H623" s="3">
        <f>dados_01!H623</f>
        <v>0</v>
      </c>
      <c r="I623" s="3">
        <f>dados_01!I623</f>
        <v>0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 spans="1:26">
      <c r="A624" s="3">
        <f>dados_01!A624</f>
        <v>0</v>
      </c>
      <c r="B624" s="3">
        <f>dados_01!B624</f>
        <v>0</v>
      </c>
      <c r="C624" s="3" t="str">
        <f>IFERROR(__xludf.dummyfunction("JOIN("". "", ARRAYFORMULA(IFERROR(LEFT(SPLIT(dados_01!C624, "" ""), 1))))"),"")</f>
        <v/>
      </c>
      <c r="D624" s="3">
        <f>dados_01!D624</f>
        <v>0</v>
      </c>
      <c r="E624" s="3" t="str">
        <f>CONCATENATE(LEFT(dados_01!E624,3),REPT("*",6),RIGHT(dados_01!E624,2))</f>
        <v>******</v>
      </c>
      <c r="F624" s="3">
        <f>dados_01!F624</f>
        <v>0</v>
      </c>
      <c r="G624" s="3">
        <f>dados_01!G624</f>
        <v>0</v>
      </c>
      <c r="H624" s="3">
        <f>dados_01!H624</f>
        <v>0</v>
      </c>
      <c r="I624" s="3">
        <f>dados_01!I624</f>
        <v>0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 spans="1:26">
      <c r="A625" s="3">
        <f>dados_01!A625</f>
        <v>0</v>
      </c>
      <c r="B625" s="3">
        <f>dados_01!B625</f>
        <v>0</v>
      </c>
      <c r="C625" s="3" t="str">
        <f>IFERROR(__xludf.dummyfunction("JOIN("". "", ARRAYFORMULA(IFERROR(LEFT(SPLIT(dados_01!C625, "" ""), 1))))"),"")</f>
        <v/>
      </c>
      <c r="D625" s="3">
        <f>dados_01!D625</f>
        <v>0</v>
      </c>
      <c r="E625" s="3" t="str">
        <f>CONCATENATE(LEFT(dados_01!E625,3),REPT("*",6),RIGHT(dados_01!E625,2))</f>
        <v>******</v>
      </c>
      <c r="F625" s="3">
        <f>dados_01!F625</f>
        <v>0</v>
      </c>
      <c r="G625" s="3">
        <f>dados_01!G625</f>
        <v>0</v>
      </c>
      <c r="H625" s="3">
        <f>dados_01!H625</f>
        <v>0</v>
      </c>
      <c r="I625" s="3">
        <f>dados_01!I625</f>
        <v>0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 spans="1:26">
      <c r="A626" s="3">
        <f>dados_01!A626</f>
        <v>0</v>
      </c>
      <c r="B626" s="3">
        <f>dados_01!B626</f>
        <v>0</v>
      </c>
      <c r="C626" s="3" t="str">
        <f>IFERROR(__xludf.dummyfunction("JOIN("". "", ARRAYFORMULA(IFERROR(LEFT(SPLIT(dados_01!C626, "" ""), 1))))"),"")</f>
        <v/>
      </c>
      <c r="D626" s="3">
        <f>dados_01!D626</f>
        <v>0</v>
      </c>
      <c r="E626" s="3" t="str">
        <f>CONCATENATE(LEFT(dados_01!E626,3),REPT("*",6),RIGHT(dados_01!E626,2))</f>
        <v>******</v>
      </c>
      <c r="F626" s="3">
        <f>dados_01!F626</f>
        <v>0</v>
      </c>
      <c r="G626" s="3">
        <f>dados_01!G626</f>
        <v>0</v>
      </c>
      <c r="H626" s="3">
        <f>dados_01!H626</f>
        <v>0</v>
      </c>
      <c r="I626" s="3">
        <f>dados_01!I626</f>
        <v>0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 spans="1:26">
      <c r="A627" s="3">
        <f>dados_01!A627</f>
        <v>0</v>
      </c>
      <c r="B627" s="3">
        <f>dados_01!B627</f>
        <v>0</v>
      </c>
      <c r="C627" s="3" t="str">
        <f>IFERROR(__xludf.dummyfunction("JOIN("". "", ARRAYFORMULA(IFERROR(LEFT(SPLIT(dados_01!C627, "" ""), 1))))"),"")</f>
        <v/>
      </c>
      <c r="D627" s="3">
        <f>dados_01!D627</f>
        <v>0</v>
      </c>
      <c r="E627" s="3" t="str">
        <f>CONCATENATE(LEFT(dados_01!E627,3),REPT("*",6),RIGHT(dados_01!E627,2))</f>
        <v>******</v>
      </c>
      <c r="F627" s="3">
        <f>dados_01!F627</f>
        <v>0</v>
      </c>
      <c r="G627" s="3">
        <f>dados_01!G627</f>
        <v>0</v>
      </c>
      <c r="H627" s="3">
        <f>dados_01!H627</f>
        <v>0</v>
      </c>
      <c r="I627" s="3">
        <f>dados_01!I627</f>
        <v>0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 spans="1:26">
      <c r="A628" s="3">
        <f>dados_01!A628</f>
        <v>0</v>
      </c>
      <c r="B628" s="3">
        <f>dados_01!B628</f>
        <v>0</v>
      </c>
      <c r="C628" s="3" t="str">
        <f>IFERROR(__xludf.dummyfunction("JOIN("". "", ARRAYFORMULA(IFERROR(LEFT(SPLIT(dados_01!C628, "" ""), 1))))"),"")</f>
        <v/>
      </c>
      <c r="D628" s="3">
        <f>dados_01!D628</f>
        <v>0</v>
      </c>
      <c r="E628" s="3" t="str">
        <f>CONCATENATE(LEFT(dados_01!E628,3),REPT("*",6),RIGHT(dados_01!E628,2))</f>
        <v>******</v>
      </c>
      <c r="F628" s="3">
        <f>dados_01!F628</f>
        <v>0</v>
      </c>
      <c r="G628" s="3">
        <f>dados_01!G628</f>
        <v>0</v>
      </c>
      <c r="H628" s="3">
        <f>dados_01!H628</f>
        <v>0</v>
      </c>
      <c r="I628" s="3">
        <f>dados_01!I628</f>
        <v>0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 spans="1:26">
      <c r="A629" s="3">
        <f>dados_01!A629</f>
        <v>0</v>
      </c>
      <c r="B629" s="3">
        <f>dados_01!B629</f>
        <v>0</v>
      </c>
      <c r="C629" s="3" t="str">
        <f>IFERROR(__xludf.dummyfunction("JOIN("". "", ARRAYFORMULA(IFERROR(LEFT(SPLIT(dados_01!C629, "" ""), 1))))"),"")</f>
        <v/>
      </c>
      <c r="D629" s="3">
        <f>dados_01!D629</f>
        <v>0</v>
      </c>
      <c r="E629" s="3" t="str">
        <f>CONCATENATE(LEFT(dados_01!E629,3),REPT("*",6),RIGHT(dados_01!E629,2))</f>
        <v>******</v>
      </c>
      <c r="F629" s="3">
        <f>dados_01!F629</f>
        <v>0</v>
      </c>
      <c r="G629" s="3">
        <f>dados_01!G629</f>
        <v>0</v>
      </c>
      <c r="H629" s="3">
        <f>dados_01!H629</f>
        <v>0</v>
      </c>
      <c r="I629" s="3">
        <f>dados_01!I629</f>
        <v>0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 spans="1:26">
      <c r="A630" s="3">
        <f>dados_01!A630</f>
        <v>0</v>
      </c>
      <c r="B630" s="3">
        <f>dados_01!B630</f>
        <v>0</v>
      </c>
      <c r="C630" s="3" t="str">
        <f>IFERROR(__xludf.dummyfunction("JOIN("". "", ARRAYFORMULA(IFERROR(LEFT(SPLIT(dados_01!C630, "" ""), 1))))"),"")</f>
        <v/>
      </c>
      <c r="D630" s="3">
        <f>dados_01!D630</f>
        <v>0</v>
      </c>
      <c r="E630" s="3" t="str">
        <f>CONCATENATE(LEFT(dados_01!E630,3),REPT("*",6),RIGHT(dados_01!E630,2))</f>
        <v>******</v>
      </c>
      <c r="F630" s="3">
        <f>dados_01!F630</f>
        <v>0</v>
      </c>
      <c r="G630" s="3">
        <f>dados_01!G630</f>
        <v>0</v>
      </c>
      <c r="H630" s="3">
        <f>dados_01!H630</f>
        <v>0</v>
      </c>
      <c r="I630" s="3">
        <f>dados_01!I630</f>
        <v>0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 spans="1:26">
      <c r="A631" s="3">
        <f>dados_01!A631</f>
        <v>0</v>
      </c>
      <c r="B631" s="3">
        <f>dados_01!B631</f>
        <v>0</v>
      </c>
      <c r="C631" s="3" t="str">
        <f>IFERROR(__xludf.dummyfunction("JOIN("". "", ARRAYFORMULA(IFERROR(LEFT(SPLIT(dados_01!C631, "" ""), 1))))"),"")</f>
        <v/>
      </c>
      <c r="D631" s="3">
        <f>dados_01!D631</f>
        <v>0</v>
      </c>
      <c r="E631" s="3" t="str">
        <f>CONCATENATE(LEFT(dados_01!E631,3),REPT("*",6),RIGHT(dados_01!E631,2))</f>
        <v>******</v>
      </c>
      <c r="F631" s="3">
        <f>dados_01!F631</f>
        <v>0</v>
      </c>
      <c r="G631" s="3">
        <f>dados_01!G631</f>
        <v>0</v>
      </c>
      <c r="H631" s="3">
        <f>dados_01!H631</f>
        <v>0</v>
      </c>
      <c r="I631" s="3">
        <f>dados_01!I631</f>
        <v>0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 spans="1:26">
      <c r="A632" s="3">
        <f>dados_01!A632</f>
        <v>0</v>
      </c>
      <c r="B632" s="3">
        <f>dados_01!B632</f>
        <v>0</v>
      </c>
      <c r="C632" s="3" t="str">
        <f>IFERROR(__xludf.dummyfunction("JOIN("". "", ARRAYFORMULA(IFERROR(LEFT(SPLIT(dados_01!C632, "" ""), 1))))"),"")</f>
        <v/>
      </c>
      <c r="D632" s="3">
        <f>dados_01!D632</f>
        <v>0</v>
      </c>
      <c r="E632" s="3" t="str">
        <f>CONCATENATE(LEFT(dados_01!E632,3),REPT("*",6),RIGHT(dados_01!E632,2))</f>
        <v>******</v>
      </c>
      <c r="F632" s="3">
        <f>dados_01!F632</f>
        <v>0</v>
      </c>
      <c r="G632" s="3">
        <f>dados_01!G632</f>
        <v>0</v>
      </c>
      <c r="H632" s="3">
        <f>dados_01!H632</f>
        <v>0</v>
      </c>
      <c r="I632" s="3">
        <f>dados_01!I632</f>
        <v>0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 spans="1:26">
      <c r="A633" s="3">
        <f>dados_01!A633</f>
        <v>0</v>
      </c>
      <c r="B633" s="3">
        <f>dados_01!B633</f>
        <v>0</v>
      </c>
      <c r="C633" s="3" t="str">
        <f>IFERROR(__xludf.dummyfunction("JOIN("". "", ARRAYFORMULA(IFERROR(LEFT(SPLIT(dados_01!C633, "" ""), 1))))"),"")</f>
        <v/>
      </c>
      <c r="D633" s="3">
        <f>dados_01!D633</f>
        <v>0</v>
      </c>
      <c r="E633" s="3" t="str">
        <f>CONCATENATE(LEFT(dados_01!E633,3),REPT("*",6),RIGHT(dados_01!E633,2))</f>
        <v>******</v>
      </c>
      <c r="F633" s="3">
        <f>dados_01!F633</f>
        <v>0</v>
      </c>
      <c r="G633" s="3">
        <f>dados_01!G633</f>
        <v>0</v>
      </c>
      <c r="H633" s="3">
        <f>dados_01!H633</f>
        <v>0</v>
      </c>
      <c r="I633" s="3">
        <f>dados_01!I633</f>
        <v>0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 spans="1:26">
      <c r="A634" s="3">
        <f>dados_01!A634</f>
        <v>0</v>
      </c>
      <c r="B634" s="3">
        <f>dados_01!B634</f>
        <v>0</v>
      </c>
      <c r="C634" s="3" t="str">
        <f>IFERROR(__xludf.dummyfunction("JOIN("". "", ARRAYFORMULA(IFERROR(LEFT(SPLIT(dados_01!C634, "" ""), 1))))"),"")</f>
        <v/>
      </c>
      <c r="D634" s="3">
        <f>dados_01!D634</f>
        <v>0</v>
      </c>
      <c r="E634" s="3" t="str">
        <f>CONCATENATE(LEFT(dados_01!E634,3),REPT("*",6),RIGHT(dados_01!E634,2))</f>
        <v>******</v>
      </c>
      <c r="F634" s="3">
        <f>dados_01!F634</f>
        <v>0</v>
      </c>
      <c r="G634" s="3">
        <f>dados_01!G634</f>
        <v>0</v>
      </c>
      <c r="H634" s="3">
        <f>dados_01!H634</f>
        <v>0</v>
      </c>
      <c r="I634" s="3">
        <f>dados_01!I634</f>
        <v>0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 spans="1:26">
      <c r="A635" s="3">
        <f>dados_01!A635</f>
        <v>0</v>
      </c>
      <c r="B635" s="3">
        <f>dados_01!B635</f>
        <v>0</v>
      </c>
      <c r="C635" s="3" t="str">
        <f>IFERROR(__xludf.dummyfunction("JOIN("". "", ARRAYFORMULA(IFERROR(LEFT(SPLIT(dados_01!C635, "" ""), 1))))"),"")</f>
        <v/>
      </c>
      <c r="D635" s="3">
        <f>dados_01!D635</f>
        <v>0</v>
      </c>
      <c r="E635" s="3" t="str">
        <f>CONCATENATE(LEFT(dados_01!E635,3),REPT("*",6),RIGHT(dados_01!E635,2))</f>
        <v>******</v>
      </c>
      <c r="F635" s="3">
        <f>dados_01!F635</f>
        <v>0</v>
      </c>
      <c r="G635" s="3">
        <f>dados_01!G635</f>
        <v>0</v>
      </c>
      <c r="H635" s="3">
        <f>dados_01!H635</f>
        <v>0</v>
      </c>
      <c r="I635" s="3">
        <f>dados_01!I635</f>
        <v>0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 spans="1:26">
      <c r="A636" s="3">
        <f>dados_01!A636</f>
        <v>0</v>
      </c>
      <c r="B636" s="3">
        <f>dados_01!B636</f>
        <v>0</v>
      </c>
      <c r="C636" s="3" t="str">
        <f>IFERROR(__xludf.dummyfunction("JOIN("". "", ARRAYFORMULA(IFERROR(LEFT(SPLIT(dados_01!C636, "" ""), 1))))"),"")</f>
        <v/>
      </c>
      <c r="D636" s="3">
        <f>dados_01!D636</f>
        <v>0</v>
      </c>
      <c r="E636" s="3" t="str">
        <f>CONCATENATE(LEFT(dados_01!E636,3),REPT("*",6),RIGHT(dados_01!E636,2))</f>
        <v>******</v>
      </c>
      <c r="F636" s="3">
        <f>dados_01!F636</f>
        <v>0</v>
      </c>
      <c r="G636" s="3">
        <f>dados_01!G636</f>
        <v>0</v>
      </c>
      <c r="H636" s="3">
        <f>dados_01!H636</f>
        <v>0</v>
      </c>
      <c r="I636" s="3">
        <f>dados_01!I636</f>
        <v>0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 spans="1:26">
      <c r="A637" s="3">
        <f>dados_01!A637</f>
        <v>0</v>
      </c>
      <c r="B637" s="3">
        <f>dados_01!B637</f>
        <v>0</v>
      </c>
      <c r="C637" s="3" t="str">
        <f>IFERROR(__xludf.dummyfunction("JOIN("". "", ARRAYFORMULA(IFERROR(LEFT(SPLIT(dados_01!C637, "" ""), 1))))"),"")</f>
        <v/>
      </c>
      <c r="D637" s="3">
        <f>dados_01!D637</f>
        <v>0</v>
      </c>
      <c r="E637" s="3" t="str">
        <f>CONCATENATE(LEFT(dados_01!E637,3),REPT("*",6),RIGHT(dados_01!E637,2))</f>
        <v>******</v>
      </c>
      <c r="F637" s="3">
        <f>dados_01!F637</f>
        <v>0</v>
      </c>
      <c r="G637" s="3">
        <f>dados_01!G637</f>
        <v>0</v>
      </c>
      <c r="H637" s="3">
        <f>dados_01!H637</f>
        <v>0</v>
      </c>
      <c r="I637" s="3">
        <f>dados_01!I637</f>
        <v>0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 spans="1:26">
      <c r="A638" s="3">
        <f>dados_01!A638</f>
        <v>0</v>
      </c>
      <c r="B638" s="3">
        <f>dados_01!B638</f>
        <v>0</v>
      </c>
      <c r="C638" s="3" t="str">
        <f>IFERROR(__xludf.dummyfunction("JOIN("". "", ARRAYFORMULA(IFERROR(LEFT(SPLIT(dados_01!C638, "" ""), 1))))"),"")</f>
        <v/>
      </c>
      <c r="D638" s="3">
        <f>dados_01!D638</f>
        <v>0</v>
      </c>
      <c r="E638" s="3" t="str">
        <f>CONCATENATE(LEFT(dados_01!E638,3),REPT("*",6),RIGHT(dados_01!E638,2))</f>
        <v>******</v>
      </c>
      <c r="F638" s="3">
        <f>dados_01!F638</f>
        <v>0</v>
      </c>
      <c r="G638" s="3">
        <f>dados_01!G638</f>
        <v>0</v>
      </c>
      <c r="H638" s="3">
        <f>dados_01!H638</f>
        <v>0</v>
      </c>
      <c r="I638" s="3">
        <f>dados_01!I638</f>
        <v>0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 spans="1:26">
      <c r="A639" s="3">
        <f>dados_01!A639</f>
        <v>0</v>
      </c>
      <c r="B639" s="3">
        <f>dados_01!B639</f>
        <v>0</v>
      </c>
      <c r="C639" s="3" t="str">
        <f>IFERROR(__xludf.dummyfunction("JOIN("". "", ARRAYFORMULA(IFERROR(LEFT(SPLIT(dados_01!C639, "" ""), 1))))"),"")</f>
        <v/>
      </c>
      <c r="D639" s="3">
        <f>dados_01!D639</f>
        <v>0</v>
      </c>
      <c r="E639" s="3" t="str">
        <f>CONCATENATE(LEFT(dados_01!E639,3),REPT("*",6),RIGHT(dados_01!E639,2))</f>
        <v>******</v>
      </c>
      <c r="F639" s="3">
        <f>dados_01!F639</f>
        <v>0</v>
      </c>
      <c r="G639" s="3">
        <f>dados_01!G639</f>
        <v>0</v>
      </c>
      <c r="H639" s="3">
        <f>dados_01!H639</f>
        <v>0</v>
      </c>
      <c r="I639" s="3">
        <f>dados_01!I639</f>
        <v>0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 spans="1:26">
      <c r="A640" s="3">
        <f>dados_01!A640</f>
        <v>0</v>
      </c>
      <c r="B640" s="3">
        <f>dados_01!B640</f>
        <v>0</v>
      </c>
      <c r="C640" s="3" t="str">
        <f>IFERROR(__xludf.dummyfunction("JOIN("". "", ARRAYFORMULA(IFERROR(LEFT(SPLIT(dados_01!C640, "" ""), 1))))"),"")</f>
        <v/>
      </c>
      <c r="D640" s="3">
        <f>dados_01!D640</f>
        <v>0</v>
      </c>
      <c r="E640" s="3" t="str">
        <f>CONCATENATE(LEFT(dados_01!E640,3),REPT("*",6),RIGHT(dados_01!E640,2))</f>
        <v>******</v>
      </c>
      <c r="F640" s="3">
        <f>dados_01!F640</f>
        <v>0</v>
      </c>
      <c r="G640" s="3">
        <f>dados_01!G640</f>
        <v>0</v>
      </c>
      <c r="H640" s="3">
        <f>dados_01!H640</f>
        <v>0</v>
      </c>
      <c r="I640" s="3">
        <f>dados_01!I640</f>
        <v>0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 spans="1:26">
      <c r="A641" s="3">
        <f>dados_01!A641</f>
        <v>0</v>
      </c>
      <c r="B641" s="3">
        <f>dados_01!B641</f>
        <v>0</v>
      </c>
      <c r="C641" s="3" t="str">
        <f>IFERROR(__xludf.dummyfunction("JOIN("". "", ARRAYFORMULA(IFERROR(LEFT(SPLIT(dados_01!C641, "" ""), 1))))"),"")</f>
        <v/>
      </c>
      <c r="D641" s="3">
        <f>dados_01!D641</f>
        <v>0</v>
      </c>
      <c r="E641" s="3" t="str">
        <f>CONCATENATE(LEFT(dados_01!E641,3),REPT("*",6),RIGHT(dados_01!E641,2))</f>
        <v>******</v>
      </c>
      <c r="F641" s="3">
        <f>dados_01!F641</f>
        <v>0</v>
      </c>
      <c r="G641" s="3">
        <f>dados_01!G641</f>
        <v>0</v>
      </c>
      <c r="H641" s="3">
        <f>dados_01!H641</f>
        <v>0</v>
      </c>
      <c r="I641" s="3">
        <f>dados_01!I641</f>
        <v>0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 spans="1:26">
      <c r="A642" s="3">
        <f>dados_01!A642</f>
        <v>0</v>
      </c>
      <c r="B642" s="3">
        <f>dados_01!B642</f>
        <v>0</v>
      </c>
      <c r="C642" s="3" t="str">
        <f>IFERROR(__xludf.dummyfunction("JOIN("". "", ARRAYFORMULA(IFERROR(LEFT(SPLIT(dados_01!C642, "" ""), 1))))"),"")</f>
        <v/>
      </c>
      <c r="D642" s="3">
        <f>dados_01!D642</f>
        <v>0</v>
      </c>
      <c r="E642" s="3" t="str">
        <f>CONCATENATE(LEFT(dados_01!E642,3),REPT("*",6),RIGHT(dados_01!E642,2))</f>
        <v>******</v>
      </c>
      <c r="F642" s="3">
        <f>dados_01!F642</f>
        <v>0</v>
      </c>
      <c r="G642" s="3">
        <f>dados_01!G642</f>
        <v>0</v>
      </c>
      <c r="H642" s="3">
        <f>dados_01!H642</f>
        <v>0</v>
      </c>
      <c r="I642" s="3">
        <f>dados_01!I642</f>
        <v>0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 spans="1:26">
      <c r="A643" s="3">
        <f>dados_01!A643</f>
        <v>0</v>
      </c>
      <c r="B643" s="3">
        <f>dados_01!B643</f>
        <v>0</v>
      </c>
      <c r="C643" s="3" t="str">
        <f>IFERROR(__xludf.dummyfunction("JOIN("". "", ARRAYFORMULA(IFERROR(LEFT(SPLIT(dados_01!C643, "" ""), 1))))"),"")</f>
        <v/>
      </c>
      <c r="D643" s="3">
        <f>dados_01!D643</f>
        <v>0</v>
      </c>
      <c r="E643" s="3" t="str">
        <f>CONCATENATE(LEFT(dados_01!E643,3),REPT("*",6),RIGHT(dados_01!E643,2))</f>
        <v>******</v>
      </c>
      <c r="F643" s="3">
        <f>dados_01!F643</f>
        <v>0</v>
      </c>
      <c r="G643" s="3">
        <f>dados_01!G643</f>
        <v>0</v>
      </c>
      <c r="H643" s="3">
        <f>dados_01!H643</f>
        <v>0</v>
      </c>
      <c r="I643" s="3">
        <f>dados_01!I643</f>
        <v>0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 spans="1:26">
      <c r="A644" s="3">
        <f>dados_01!A644</f>
        <v>0</v>
      </c>
      <c r="B644" s="3">
        <f>dados_01!B644</f>
        <v>0</v>
      </c>
      <c r="C644" s="3" t="str">
        <f>IFERROR(__xludf.dummyfunction("JOIN("". "", ARRAYFORMULA(IFERROR(LEFT(SPLIT(dados_01!C644, "" ""), 1))))"),"")</f>
        <v/>
      </c>
      <c r="D644" s="3">
        <f>dados_01!D644</f>
        <v>0</v>
      </c>
      <c r="E644" s="3" t="str">
        <f>CONCATENATE(LEFT(dados_01!E644,3),REPT("*",6),RIGHT(dados_01!E644,2))</f>
        <v>******</v>
      </c>
      <c r="F644" s="3">
        <f>dados_01!F644</f>
        <v>0</v>
      </c>
      <c r="G644" s="3">
        <f>dados_01!G644</f>
        <v>0</v>
      </c>
      <c r="H644" s="3">
        <f>dados_01!H644</f>
        <v>0</v>
      </c>
      <c r="I644" s="3">
        <f>dados_01!I644</f>
        <v>0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 spans="1:26">
      <c r="A645" s="3">
        <f>dados_01!A645</f>
        <v>0</v>
      </c>
      <c r="B645" s="3">
        <f>dados_01!B645</f>
        <v>0</v>
      </c>
      <c r="C645" s="3" t="str">
        <f>IFERROR(__xludf.dummyfunction("JOIN("". "", ARRAYFORMULA(IFERROR(LEFT(SPLIT(dados_01!C645, "" ""), 1))))"),"")</f>
        <v/>
      </c>
      <c r="D645" s="3">
        <f>dados_01!D645</f>
        <v>0</v>
      </c>
      <c r="E645" s="3" t="str">
        <f>CONCATENATE(LEFT(dados_01!E645,3),REPT("*",6),RIGHT(dados_01!E645,2))</f>
        <v>******</v>
      </c>
      <c r="F645" s="3">
        <f>dados_01!F645</f>
        <v>0</v>
      </c>
      <c r="G645" s="3">
        <f>dados_01!G645</f>
        <v>0</v>
      </c>
      <c r="H645" s="3">
        <f>dados_01!H645</f>
        <v>0</v>
      </c>
      <c r="I645" s="3">
        <f>dados_01!I645</f>
        <v>0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 spans="1:26">
      <c r="A646" s="3">
        <f>dados_01!A646</f>
        <v>0</v>
      </c>
      <c r="B646" s="3">
        <f>dados_01!B646</f>
        <v>0</v>
      </c>
      <c r="C646" s="3" t="str">
        <f>IFERROR(__xludf.dummyfunction("JOIN("". "", ARRAYFORMULA(IFERROR(LEFT(SPLIT(dados_01!C646, "" ""), 1))))"),"")</f>
        <v/>
      </c>
      <c r="D646" s="3">
        <f>dados_01!D646</f>
        <v>0</v>
      </c>
      <c r="E646" s="3" t="str">
        <f>CONCATENATE(LEFT(dados_01!E646,3),REPT("*",6),RIGHT(dados_01!E646,2))</f>
        <v>******</v>
      </c>
      <c r="F646" s="3">
        <f>dados_01!F646</f>
        <v>0</v>
      </c>
      <c r="G646" s="3">
        <f>dados_01!G646</f>
        <v>0</v>
      </c>
      <c r="H646" s="3">
        <f>dados_01!H646</f>
        <v>0</v>
      </c>
      <c r="I646" s="3">
        <f>dados_01!I646</f>
        <v>0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 spans="1:26">
      <c r="A647" s="3">
        <f>dados_01!A647</f>
        <v>0</v>
      </c>
      <c r="B647" s="3">
        <f>dados_01!B647</f>
        <v>0</v>
      </c>
      <c r="C647" s="3" t="str">
        <f>IFERROR(__xludf.dummyfunction("JOIN("". "", ARRAYFORMULA(IFERROR(LEFT(SPLIT(dados_01!C647, "" ""), 1))))"),"")</f>
        <v/>
      </c>
      <c r="D647" s="3">
        <f>dados_01!D647</f>
        <v>0</v>
      </c>
      <c r="E647" s="3" t="str">
        <f>CONCATENATE(LEFT(dados_01!E647,3),REPT("*",6),RIGHT(dados_01!E647,2))</f>
        <v>******</v>
      </c>
      <c r="F647" s="3">
        <f>dados_01!F647</f>
        <v>0</v>
      </c>
      <c r="G647" s="3">
        <f>dados_01!G647</f>
        <v>0</v>
      </c>
      <c r="H647" s="3">
        <f>dados_01!H647</f>
        <v>0</v>
      </c>
      <c r="I647" s="3">
        <f>dados_01!I647</f>
        <v>0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hidden="1" customHeight="1" spans="1:26">
      <c r="A648" s="3">
        <f>dados_01!A648</f>
        <v>0</v>
      </c>
      <c r="B648" s="3">
        <f>dados_01!B648</f>
        <v>0</v>
      </c>
      <c r="C648" s="3"/>
      <c r="D648" s="3">
        <f>dados_01!D648</f>
        <v>0</v>
      </c>
      <c r="E648" s="3" t="str">
        <f>CONCATENATE(LEFT(dados_01!E648,3),REPT("*",6),RIGHT(dados_01!E648,2))</f>
        <v>******</v>
      </c>
      <c r="F648" s="3">
        <f>dados_01!F648</f>
        <v>0</v>
      </c>
      <c r="G648" s="3">
        <f>dados_01!G648</f>
        <v>0</v>
      </c>
      <c r="H648" s="3">
        <f>dados_01!H648</f>
        <v>0</v>
      </c>
      <c r="I648" s="3">
        <f>dados_01!I648</f>
        <v>0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hidden="1" customHeight="1" spans="1:26">
      <c r="A649" s="3">
        <f>dados_01!A649</f>
        <v>0</v>
      </c>
      <c r="B649" s="3">
        <f>dados_01!B649</f>
        <v>0</v>
      </c>
      <c r="C649" s="3"/>
      <c r="D649" s="3">
        <f>dados_01!D649</f>
        <v>0</v>
      </c>
      <c r="E649" s="3" t="str">
        <f>CONCATENATE(LEFT(dados_01!E649,3),REPT("*",6),RIGHT(dados_01!E649,2))</f>
        <v>******</v>
      </c>
      <c r="F649" s="3">
        <f>dados_01!F649</f>
        <v>0</v>
      </c>
      <c r="G649" s="3">
        <f>dados_01!G649</f>
        <v>0</v>
      </c>
      <c r="H649" s="3">
        <f>dados_01!H649</f>
        <v>0</v>
      </c>
      <c r="I649" s="3">
        <f>dados_01!I649</f>
        <v>0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hidden="1" customHeight="1" spans="1:26">
      <c r="A650" s="3">
        <f>dados_01!A650</f>
        <v>0</v>
      </c>
      <c r="B650" s="3">
        <f>dados_01!B650</f>
        <v>0</v>
      </c>
      <c r="C650" s="3"/>
      <c r="D650" s="3">
        <f>dados_01!D650</f>
        <v>0</v>
      </c>
      <c r="E650" s="3" t="str">
        <f>CONCATENATE(LEFT(dados_01!E650,3),REPT("*",6),RIGHT(dados_01!E650,2))</f>
        <v>******</v>
      </c>
      <c r="F650" s="3">
        <f>dados_01!F650</f>
        <v>0</v>
      </c>
      <c r="G650" s="3">
        <f>dados_01!G650</f>
        <v>0</v>
      </c>
      <c r="H650" s="3">
        <f>dados_01!H650</f>
        <v>0</v>
      </c>
      <c r="I650" s="3">
        <f>dados_01!I650</f>
        <v>0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hidden="1" customHeight="1" spans="1:26">
      <c r="A651" s="3">
        <f>dados_01!A651</f>
        <v>0</v>
      </c>
      <c r="B651" s="3">
        <f>dados_01!B651</f>
        <v>0</v>
      </c>
      <c r="C651" s="3"/>
      <c r="D651" s="3">
        <f>dados_01!D651</f>
        <v>0</v>
      </c>
      <c r="E651" s="3" t="str">
        <f>CONCATENATE(LEFT(dados_01!E651,3),REPT("*",6),RIGHT(dados_01!E651,2))</f>
        <v>******</v>
      </c>
      <c r="F651" s="3">
        <f>dados_01!F651</f>
        <v>0</v>
      </c>
      <c r="G651" s="3">
        <f>dados_01!G651</f>
        <v>0</v>
      </c>
      <c r="H651" s="3">
        <f>dados_01!H651</f>
        <v>0</v>
      </c>
      <c r="I651" s="3">
        <f>dados_01!I651</f>
        <v>0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hidden="1" customHeight="1" spans="1:26">
      <c r="A652" s="3">
        <f>dados_01!A652</f>
        <v>0</v>
      </c>
      <c r="B652" s="3">
        <f>dados_01!B652</f>
        <v>0</v>
      </c>
      <c r="C652" s="3"/>
      <c r="D652" s="3">
        <f>dados_01!D652</f>
        <v>0</v>
      </c>
      <c r="E652" s="3" t="str">
        <f>CONCATENATE(LEFT(dados_01!E652,3),REPT("*",6),RIGHT(dados_01!E652,2))</f>
        <v>******</v>
      </c>
      <c r="F652" s="3">
        <f>dados_01!F652</f>
        <v>0</v>
      </c>
      <c r="G652" s="3">
        <f>dados_01!G652</f>
        <v>0</v>
      </c>
      <c r="H652" s="3">
        <f>dados_01!H652</f>
        <v>0</v>
      </c>
      <c r="I652" s="3">
        <f>dados_01!I652</f>
        <v>0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hidden="1" customHeight="1" spans="1:26">
      <c r="A653" s="3">
        <f>dados_01!A653</f>
        <v>0</v>
      </c>
      <c r="B653" s="3">
        <f>dados_01!B653</f>
        <v>0</v>
      </c>
      <c r="C653" s="3"/>
      <c r="D653" s="3">
        <f>dados_01!D653</f>
        <v>0</v>
      </c>
      <c r="E653" s="3" t="str">
        <f>CONCATENATE(LEFT(dados_01!E653,3),REPT("*",6),RIGHT(dados_01!E653,2))</f>
        <v>******</v>
      </c>
      <c r="F653" s="3">
        <f>dados_01!F653</f>
        <v>0</v>
      </c>
      <c r="G653" s="3">
        <f>dados_01!G653</f>
        <v>0</v>
      </c>
      <c r="H653" s="3">
        <f>dados_01!H653</f>
        <v>0</v>
      </c>
      <c r="I653" s="3">
        <f>dados_01!I653</f>
        <v>0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hidden="1" customHeight="1" spans="1:26">
      <c r="A654" s="3">
        <f>dados_01!A654</f>
        <v>0</v>
      </c>
      <c r="B654" s="3">
        <f>dados_01!B654</f>
        <v>0</v>
      </c>
      <c r="C654" s="3"/>
      <c r="D654" s="3">
        <f>dados_01!D654</f>
        <v>0</v>
      </c>
      <c r="E654" s="3" t="str">
        <f>CONCATENATE(LEFT(dados_01!E654,3),REPT("*",6),RIGHT(dados_01!E654,2))</f>
        <v>******</v>
      </c>
      <c r="F654" s="3">
        <f>dados_01!F654</f>
        <v>0</v>
      </c>
      <c r="G654" s="3">
        <f>dados_01!G654</f>
        <v>0</v>
      </c>
      <c r="H654" s="3">
        <f>dados_01!H654</f>
        <v>0</v>
      </c>
      <c r="I654" s="3">
        <f>dados_01!I654</f>
        <v>0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hidden="1" customHeight="1" spans="1:26">
      <c r="A655" s="3">
        <f>dados_01!A655</f>
        <v>0</v>
      </c>
      <c r="B655" s="3">
        <f>dados_01!B655</f>
        <v>0</v>
      </c>
      <c r="C655" s="3"/>
      <c r="D655" s="3">
        <f>dados_01!D655</f>
        <v>0</v>
      </c>
      <c r="E655" s="3" t="str">
        <f>CONCATENATE(LEFT(dados_01!E655,3),REPT("*",6),RIGHT(dados_01!E655,2))</f>
        <v>******</v>
      </c>
      <c r="F655" s="3">
        <f>dados_01!F655</f>
        <v>0</v>
      </c>
      <c r="G655" s="3">
        <f>dados_01!G655</f>
        <v>0</v>
      </c>
      <c r="H655" s="3">
        <f>dados_01!H655</f>
        <v>0</v>
      </c>
      <c r="I655" s="3">
        <f>dados_01!I655</f>
        <v>0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hidden="1" customHeight="1" spans="1:26">
      <c r="A656" s="3">
        <f>dados_01!A656</f>
        <v>0</v>
      </c>
      <c r="B656" s="3">
        <f>dados_01!B656</f>
        <v>0</v>
      </c>
      <c r="C656" s="3"/>
      <c r="D656" s="3">
        <f>dados_01!D656</f>
        <v>0</v>
      </c>
      <c r="E656" s="3" t="str">
        <f>CONCATENATE(LEFT(dados_01!E656,3),REPT("*",6),RIGHT(dados_01!E656,2))</f>
        <v>******</v>
      </c>
      <c r="F656" s="3">
        <f>dados_01!F656</f>
        <v>0</v>
      </c>
      <c r="G656" s="3">
        <f>dados_01!G656</f>
        <v>0</v>
      </c>
      <c r="H656" s="3">
        <f>dados_01!H656</f>
        <v>0</v>
      </c>
      <c r="I656" s="3">
        <f>dados_01!I656</f>
        <v>0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hidden="1" customHeight="1" spans="1:26">
      <c r="A657" s="3">
        <f>dados_01!A657</f>
        <v>0</v>
      </c>
      <c r="B657" s="3">
        <f>dados_01!B657</f>
        <v>0</v>
      </c>
      <c r="C657" s="3"/>
      <c r="D657" s="3">
        <f>dados_01!D657</f>
        <v>0</v>
      </c>
      <c r="E657" s="3" t="str">
        <f>CONCATENATE(LEFT(dados_01!E657,3),REPT("*",6),RIGHT(dados_01!E657,2))</f>
        <v>******</v>
      </c>
      <c r="F657" s="3">
        <f>dados_01!F657</f>
        <v>0</v>
      </c>
      <c r="G657" s="3">
        <f>dados_01!G657</f>
        <v>0</v>
      </c>
      <c r="H657" s="3">
        <f>dados_01!H657</f>
        <v>0</v>
      </c>
      <c r="I657" s="3">
        <f>dados_01!I657</f>
        <v>0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hidden="1" customHeight="1" spans="1:26">
      <c r="A658" s="3">
        <f>dados_01!A658</f>
        <v>0</v>
      </c>
      <c r="B658" s="3">
        <f>dados_01!B658</f>
        <v>0</v>
      </c>
      <c r="C658" s="3"/>
      <c r="D658" s="3">
        <f>dados_01!D658</f>
        <v>0</v>
      </c>
      <c r="E658" s="3" t="str">
        <f>CONCATENATE(LEFT(dados_01!E658,3),REPT("*",6),RIGHT(dados_01!E658,2))</f>
        <v>******</v>
      </c>
      <c r="F658" s="3">
        <f>dados_01!F658</f>
        <v>0</v>
      </c>
      <c r="G658" s="3">
        <f>dados_01!G658</f>
        <v>0</v>
      </c>
      <c r="H658" s="3">
        <f>dados_01!H658</f>
        <v>0</v>
      </c>
      <c r="I658" s="3">
        <f>dados_01!I658</f>
        <v>0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hidden="1" customHeight="1" spans="1:26">
      <c r="A659" s="3">
        <f>dados_01!A659</f>
        <v>0</v>
      </c>
      <c r="B659" s="3">
        <f>dados_01!B659</f>
        <v>0</v>
      </c>
      <c r="C659" s="3"/>
      <c r="D659" s="3">
        <f>dados_01!D659</f>
        <v>0</v>
      </c>
      <c r="E659" s="3" t="str">
        <f>CONCATENATE(LEFT(dados_01!E659,3),REPT("*",6),RIGHT(dados_01!E659,2))</f>
        <v>******</v>
      </c>
      <c r="F659" s="3">
        <f>dados_01!F659</f>
        <v>0</v>
      </c>
      <c r="G659" s="3">
        <f>dados_01!G659</f>
        <v>0</v>
      </c>
      <c r="H659" s="3">
        <f>dados_01!H659</f>
        <v>0</v>
      </c>
      <c r="I659" s="3">
        <f>dados_01!I659</f>
        <v>0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hidden="1" customHeight="1" spans="1:26">
      <c r="A660" s="3">
        <f>dados_01!A660</f>
        <v>0</v>
      </c>
      <c r="B660" s="3">
        <f>dados_01!B660</f>
        <v>0</v>
      </c>
      <c r="C660" s="3"/>
      <c r="D660" s="3">
        <f>dados_01!D660</f>
        <v>0</v>
      </c>
      <c r="E660" s="3" t="str">
        <f>CONCATENATE(LEFT(dados_01!E660,3),REPT("*",6),RIGHT(dados_01!E660,2))</f>
        <v>******</v>
      </c>
      <c r="F660" s="3">
        <f>dados_01!F660</f>
        <v>0</v>
      </c>
      <c r="G660" s="3">
        <f>dados_01!G660</f>
        <v>0</v>
      </c>
      <c r="H660" s="3">
        <f>dados_01!H660</f>
        <v>0</v>
      </c>
      <c r="I660" s="3">
        <f>dados_01!I660</f>
        <v>0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hidden="1" customHeight="1" spans="1:26">
      <c r="A661" s="3">
        <f>dados_01!A661</f>
        <v>0</v>
      </c>
      <c r="B661" s="3">
        <f>dados_01!B661</f>
        <v>0</v>
      </c>
      <c r="C661" s="3"/>
      <c r="D661" s="3">
        <f>dados_01!D661</f>
        <v>0</v>
      </c>
      <c r="E661" s="3" t="str">
        <f>CONCATENATE(LEFT(dados_01!E661,3),REPT("*",6),RIGHT(dados_01!E661,2))</f>
        <v>******</v>
      </c>
      <c r="F661" s="3">
        <f>dados_01!F661</f>
        <v>0</v>
      </c>
      <c r="G661" s="3">
        <f>dados_01!G661</f>
        <v>0</v>
      </c>
      <c r="H661" s="3">
        <f>dados_01!H661</f>
        <v>0</v>
      </c>
      <c r="I661" s="3">
        <f>dados_01!I661</f>
        <v>0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hidden="1" customHeight="1" spans="1:26">
      <c r="A662" s="3">
        <f>dados_01!A662</f>
        <v>0</v>
      </c>
      <c r="B662" s="3">
        <f>dados_01!B662</f>
        <v>0</v>
      </c>
      <c r="C662" s="3"/>
      <c r="D662" s="3">
        <f>dados_01!D662</f>
        <v>0</v>
      </c>
      <c r="E662" s="3" t="str">
        <f>CONCATENATE(LEFT(dados_01!E662,3),REPT("*",6),RIGHT(dados_01!E662,2))</f>
        <v>******</v>
      </c>
      <c r="F662" s="3">
        <f>dados_01!F662</f>
        <v>0</v>
      </c>
      <c r="G662" s="3">
        <f>dados_01!G662</f>
        <v>0</v>
      </c>
      <c r="H662" s="3">
        <f>dados_01!H662</f>
        <v>0</v>
      </c>
      <c r="I662" s="3">
        <f>dados_01!I662</f>
        <v>0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hidden="1" customHeight="1" spans="1:26">
      <c r="A663" s="3">
        <f>dados_01!A663</f>
        <v>0</v>
      </c>
      <c r="B663" s="3">
        <f>dados_01!B663</f>
        <v>0</v>
      </c>
      <c r="C663" s="3"/>
      <c r="D663" s="3">
        <f>dados_01!D663</f>
        <v>0</v>
      </c>
      <c r="E663" s="3" t="str">
        <f>CONCATENATE(LEFT(dados_01!E663,3),REPT("*",6),RIGHT(dados_01!E663,2))</f>
        <v>******</v>
      </c>
      <c r="F663" s="3">
        <f>dados_01!F663</f>
        <v>0</v>
      </c>
      <c r="G663" s="3">
        <f>dados_01!G663</f>
        <v>0</v>
      </c>
      <c r="H663" s="3">
        <f>dados_01!H663</f>
        <v>0</v>
      </c>
      <c r="I663" s="3">
        <f>dados_01!I663</f>
        <v>0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hidden="1" customHeight="1" spans="1:26">
      <c r="A664" s="3">
        <f>dados_01!A664</f>
        <v>0</v>
      </c>
      <c r="B664" s="3">
        <f>dados_01!B664</f>
        <v>0</v>
      </c>
      <c r="C664" s="3"/>
      <c r="D664" s="3">
        <f>dados_01!D664</f>
        <v>0</v>
      </c>
      <c r="E664" s="3" t="str">
        <f>CONCATENATE(LEFT(dados_01!E664,3),REPT("*",6),RIGHT(dados_01!E664,2))</f>
        <v>******</v>
      </c>
      <c r="F664" s="3">
        <f>dados_01!F664</f>
        <v>0</v>
      </c>
      <c r="G664" s="3">
        <f>dados_01!G664</f>
        <v>0</v>
      </c>
      <c r="H664" s="3">
        <f>dados_01!H664</f>
        <v>0</v>
      </c>
      <c r="I664" s="3">
        <f>dados_01!I664</f>
        <v>0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hidden="1" customHeight="1" spans="1:26">
      <c r="A665" s="3">
        <f>dados_01!A665</f>
        <v>0</v>
      </c>
      <c r="B665" s="3">
        <f>dados_01!B665</f>
        <v>0</v>
      </c>
      <c r="C665" s="3"/>
      <c r="D665" s="3">
        <f>dados_01!D665</f>
        <v>0</v>
      </c>
      <c r="E665" s="3" t="str">
        <f>CONCATENATE(LEFT(dados_01!E665,3),REPT("*",6),RIGHT(dados_01!E665,2))</f>
        <v>******</v>
      </c>
      <c r="F665" s="3">
        <f>dados_01!F665</f>
        <v>0</v>
      </c>
      <c r="G665" s="3">
        <f>dados_01!G665</f>
        <v>0</v>
      </c>
      <c r="H665" s="3">
        <f>dados_01!H665</f>
        <v>0</v>
      </c>
      <c r="I665" s="3">
        <f>dados_01!I665</f>
        <v>0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hidden="1" customHeight="1" spans="1:26">
      <c r="A666" s="3">
        <f>dados_01!A666</f>
        <v>0</v>
      </c>
      <c r="B666" s="3">
        <f>dados_01!B666</f>
        <v>0</v>
      </c>
      <c r="C666" s="3"/>
      <c r="D666" s="3">
        <f>dados_01!D666</f>
        <v>0</v>
      </c>
      <c r="E666" s="3" t="str">
        <f>CONCATENATE(LEFT(dados_01!E666,3),REPT("*",6),RIGHT(dados_01!E666,2))</f>
        <v>******</v>
      </c>
      <c r="F666" s="3">
        <f>dados_01!F666</f>
        <v>0</v>
      </c>
      <c r="G666" s="3">
        <f>dados_01!G666</f>
        <v>0</v>
      </c>
      <c r="H666" s="3">
        <f>dados_01!H666</f>
        <v>0</v>
      </c>
      <c r="I666" s="3">
        <f>dados_01!I666</f>
        <v>0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hidden="1" customHeight="1" spans="1:26">
      <c r="A667" s="3">
        <f>dados_01!A667</f>
        <v>0</v>
      </c>
      <c r="B667" s="3">
        <f>dados_01!B667</f>
        <v>0</v>
      </c>
      <c r="C667" s="3"/>
      <c r="D667" s="3">
        <f>dados_01!D667</f>
        <v>0</v>
      </c>
      <c r="E667" s="3" t="str">
        <f>CONCATENATE(LEFT(dados_01!E667,3),REPT("*",6),RIGHT(dados_01!E667,2))</f>
        <v>******</v>
      </c>
      <c r="F667" s="3">
        <f>dados_01!F667</f>
        <v>0</v>
      </c>
      <c r="G667" s="3">
        <f>dados_01!G667</f>
        <v>0</v>
      </c>
      <c r="H667" s="3">
        <f>dados_01!H667</f>
        <v>0</v>
      </c>
      <c r="I667" s="3">
        <f>dados_01!I667</f>
        <v>0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hidden="1" customHeight="1" spans="1:26">
      <c r="A668" s="3">
        <f>dados_01!A668</f>
        <v>0</v>
      </c>
      <c r="B668" s="3">
        <f>dados_01!B668</f>
        <v>0</v>
      </c>
      <c r="C668" s="3"/>
      <c r="D668" s="3">
        <f>dados_01!D668</f>
        <v>0</v>
      </c>
      <c r="E668" s="3" t="str">
        <f>CONCATENATE(LEFT(dados_01!E668,3),REPT("*",6),RIGHT(dados_01!E668,2))</f>
        <v>******</v>
      </c>
      <c r="F668" s="3">
        <f>dados_01!F668</f>
        <v>0</v>
      </c>
      <c r="G668" s="3">
        <f>dados_01!G668</f>
        <v>0</v>
      </c>
      <c r="H668" s="3">
        <f>dados_01!H668</f>
        <v>0</v>
      </c>
      <c r="I668" s="3">
        <f>dados_01!I668</f>
        <v>0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hidden="1" customHeight="1" spans="1:26">
      <c r="A669" s="3">
        <f>dados_01!A669</f>
        <v>0</v>
      </c>
      <c r="B669" s="3">
        <f>dados_01!B669</f>
        <v>0</v>
      </c>
      <c r="C669" s="3"/>
      <c r="D669" s="3">
        <f>dados_01!D669</f>
        <v>0</v>
      </c>
      <c r="E669" s="3" t="str">
        <f>CONCATENATE(LEFT(dados_01!E669,3),REPT("*",6),RIGHT(dados_01!E669,2))</f>
        <v>******</v>
      </c>
      <c r="F669" s="3">
        <f>dados_01!F669</f>
        <v>0</v>
      </c>
      <c r="G669" s="3">
        <f>dados_01!G669</f>
        <v>0</v>
      </c>
      <c r="H669" s="3">
        <f>dados_01!H669</f>
        <v>0</v>
      </c>
      <c r="I669" s="3">
        <f>dados_01!I669</f>
        <v>0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hidden="1" customHeight="1" spans="1:26">
      <c r="A670" s="3">
        <f>dados_01!A670</f>
        <v>0</v>
      </c>
      <c r="B670" s="3">
        <f>dados_01!B670</f>
        <v>0</v>
      </c>
      <c r="C670" s="3"/>
      <c r="D670" s="3">
        <f>dados_01!D670</f>
        <v>0</v>
      </c>
      <c r="E670" s="3" t="str">
        <f>CONCATENATE(LEFT(dados_01!E670,3),REPT("*",6),RIGHT(dados_01!E670,2))</f>
        <v>******</v>
      </c>
      <c r="F670" s="3">
        <f>dados_01!F670</f>
        <v>0</v>
      </c>
      <c r="G670" s="3">
        <f>dados_01!G670</f>
        <v>0</v>
      </c>
      <c r="H670" s="3">
        <f>dados_01!H670</f>
        <v>0</v>
      </c>
      <c r="I670" s="3">
        <f>dados_01!I670</f>
        <v>0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hidden="1" customHeight="1" spans="1:26">
      <c r="A671" s="3">
        <f>dados_01!A671</f>
        <v>0</v>
      </c>
      <c r="B671" s="3">
        <f>dados_01!B671</f>
        <v>0</v>
      </c>
      <c r="C671" s="3"/>
      <c r="D671" s="3">
        <f>dados_01!D671</f>
        <v>0</v>
      </c>
      <c r="E671" s="3" t="str">
        <f>CONCATENATE(LEFT(dados_01!E671,3),REPT("*",6),RIGHT(dados_01!E671,2))</f>
        <v>******</v>
      </c>
      <c r="F671" s="3">
        <f>dados_01!F671</f>
        <v>0</v>
      </c>
      <c r="G671" s="3">
        <f>dados_01!G671</f>
        <v>0</v>
      </c>
      <c r="H671" s="3">
        <f>dados_01!H671</f>
        <v>0</v>
      </c>
      <c r="I671" s="3">
        <f>dados_01!I671</f>
        <v>0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hidden="1" customHeight="1" spans="1:26">
      <c r="A672" s="3">
        <f>dados_01!A672</f>
        <v>0</v>
      </c>
      <c r="B672" s="3">
        <f>dados_01!B672</f>
        <v>0</v>
      </c>
      <c r="C672" s="3"/>
      <c r="D672" s="3">
        <f>dados_01!D672</f>
        <v>0</v>
      </c>
      <c r="E672" s="3" t="str">
        <f>CONCATENATE(LEFT(dados_01!E672,3),REPT("*",6),RIGHT(dados_01!E672,2))</f>
        <v>******</v>
      </c>
      <c r="F672" s="3">
        <f>dados_01!F672</f>
        <v>0</v>
      </c>
      <c r="G672" s="3">
        <f>dados_01!G672</f>
        <v>0</v>
      </c>
      <c r="H672" s="3">
        <f>dados_01!H672</f>
        <v>0</v>
      </c>
      <c r="I672" s="3">
        <f>dados_01!I672</f>
        <v>0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hidden="1" customHeight="1" spans="1:26">
      <c r="A673" s="3">
        <f>dados_01!A673</f>
        <v>0</v>
      </c>
      <c r="B673" s="3">
        <f>dados_01!B673</f>
        <v>0</v>
      </c>
      <c r="C673" s="3"/>
      <c r="D673" s="3">
        <f>dados_01!D673</f>
        <v>0</v>
      </c>
      <c r="E673" s="3" t="str">
        <f>CONCATENATE(LEFT(dados_01!E673,3),REPT("*",6),RIGHT(dados_01!E673,2))</f>
        <v>******</v>
      </c>
      <c r="F673" s="3">
        <f>dados_01!F673</f>
        <v>0</v>
      </c>
      <c r="G673" s="3">
        <f>dados_01!G673</f>
        <v>0</v>
      </c>
      <c r="H673" s="3">
        <f>dados_01!H673</f>
        <v>0</v>
      </c>
      <c r="I673" s="3">
        <f>dados_01!I673</f>
        <v>0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hidden="1" customHeight="1" spans="1:26">
      <c r="A674" s="3">
        <f>dados_01!A674</f>
        <v>0</v>
      </c>
      <c r="B674" s="3">
        <f>dados_01!B674</f>
        <v>0</v>
      </c>
      <c r="C674" s="3"/>
      <c r="D674" s="3">
        <f>dados_01!D674</f>
        <v>0</v>
      </c>
      <c r="E674" s="3" t="str">
        <f>CONCATENATE(LEFT(dados_01!E674,3),REPT("*",6),RIGHT(dados_01!E674,2))</f>
        <v>******</v>
      </c>
      <c r="F674" s="3">
        <f>dados_01!F674</f>
        <v>0</v>
      </c>
      <c r="G674" s="3">
        <f>dados_01!G674</f>
        <v>0</v>
      </c>
      <c r="H674" s="3">
        <f>dados_01!H674</f>
        <v>0</v>
      </c>
      <c r="I674" s="3">
        <f>dados_01!I674</f>
        <v>0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hidden="1" customHeight="1" spans="1:26">
      <c r="A675" s="3">
        <f>dados_01!A675</f>
        <v>0</v>
      </c>
      <c r="B675" s="3">
        <f>dados_01!B675</f>
        <v>0</v>
      </c>
      <c r="C675" s="3"/>
      <c r="D675" s="3">
        <f>dados_01!D675</f>
        <v>0</v>
      </c>
      <c r="E675" s="3" t="str">
        <f>CONCATENATE(LEFT(dados_01!E675,3),REPT("*",6),RIGHT(dados_01!E675,2))</f>
        <v>******</v>
      </c>
      <c r="F675" s="3">
        <f>dados_01!F675</f>
        <v>0</v>
      </c>
      <c r="G675" s="3">
        <f>dados_01!G675</f>
        <v>0</v>
      </c>
      <c r="H675" s="3">
        <f>dados_01!H675</f>
        <v>0</v>
      </c>
      <c r="I675" s="3">
        <f>dados_01!I675</f>
        <v>0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hidden="1" customHeight="1" spans="1:26">
      <c r="A676" s="3">
        <f>dados_01!A676</f>
        <v>0</v>
      </c>
      <c r="B676" s="3">
        <f>dados_01!B676</f>
        <v>0</v>
      </c>
      <c r="C676" s="3"/>
      <c r="D676" s="3">
        <f>dados_01!D676</f>
        <v>0</v>
      </c>
      <c r="E676" s="3" t="str">
        <f>CONCATENATE(LEFT(dados_01!E676,3),REPT("*",6),RIGHT(dados_01!E676,2))</f>
        <v>******</v>
      </c>
      <c r="F676" s="3">
        <f>dados_01!F676</f>
        <v>0</v>
      </c>
      <c r="G676" s="3">
        <f>dados_01!G676</f>
        <v>0</v>
      </c>
      <c r="H676" s="3">
        <f>dados_01!H676</f>
        <v>0</v>
      </c>
      <c r="I676" s="3">
        <f>dados_01!I676</f>
        <v>0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hidden="1" customHeight="1" spans="1:26">
      <c r="A677" s="3">
        <f>dados_01!A677</f>
        <v>0</v>
      </c>
      <c r="B677" s="3">
        <f>dados_01!B677</f>
        <v>0</v>
      </c>
      <c r="C677" s="3"/>
      <c r="D677" s="3">
        <f>dados_01!D677</f>
        <v>0</v>
      </c>
      <c r="E677" s="3" t="str">
        <f>CONCATENATE(LEFT(dados_01!E677,3),REPT("*",6),RIGHT(dados_01!E677,2))</f>
        <v>******</v>
      </c>
      <c r="F677" s="3">
        <f>dados_01!F677</f>
        <v>0</v>
      </c>
      <c r="G677" s="3">
        <f>dados_01!G677</f>
        <v>0</v>
      </c>
      <c r="H677" s="3">
        <f>dados_01!H677</f>
        <v>0</v>
      </c>
      <c r="I677" s="3">
        <f>dados_01!I677</f>
        <v>0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hidden="1" customHeight="1" spans="1:26">
      <c r="A678" s="3">
        <f>dados_01!A678</f>
        <v>0</v>
      </c>
      <c r="B678" s="3">
        <f>dados_01!B678</f>
        <v>0</v>
      </c>
      <c r="C678" s="3"/>
      <c r="D678" s="3">
        <f>dados_01!D678</f>
        <v>0</v>
      </c>
      <c r="E678" s="3" t="str">
        <f>CONCATENATE(LEFT(dados_01!E678,3),REPT("*",6),RIGHT(dados_01!E678,2))</f>
        <v>******</v>
      </c>
      <c r="F678" s="3">
        <f>dados_01!F678</f>
        <v>0</v>
      </c>
      <c r="G678" s="3">
        <f>dados_01!G678</f>
        <v>0</v>
      </c>
      <c r="H678" s="3">
        <f>dados_01!H678</f>
        <v>0</v>
      </c>
      <c r="I678" s="3">
        <f>dados_01!I678</f>
        <v>0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hidden="1" customHeight="1" spans="1:26">
      <c r="A679" s="3">
        <f>dados_01!A679</f>
        <v>0</v>
      </c>
      <c r="B679" s="3">
        <f>dados_01!B679</f>
        <v>0</v>
      </c>
      <c r="C679" s="3"/>
      <c r="D679" s="3">
        <f>dados_01!D679</f>
        <v>0</v>
      </c>
      <c r="E679" s="3" t="str">
        <f>CONCATENATE(LEFT(dados_01!E679,3),REPT("*",6),RIGHT(dados_01!E679,2))</f>
        <v>******</v>
      </c>
      <c r="F679" s="3">
        <f>dados_01!F679</f>
        <v>0</v>
      </c>
      <c r="G679" s="3">
        <f>dados_01!G679</f>
        <v>0</v>
      </c>
      <c r="H679" s="3">
        <f>dados_01!H679</f>
        <v>0</v>
      </c>
      <c r="I679" s="3">
        <f>dados_01!I679</f>
        <v>0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hidden="1" customHeight="1" spans="1:26">
      <c r="A680" s="3">
        <f>dados_01!A680</f>
        <v>0</v>
      </c>
      <c r="B680" s="3">
        <f>dados_01!B680</f>
        <v>0</v>
      </c>
      <c r="C680" s="3"/>
      <c r="D680" s="3">
        <f>dados_01!D680</f>
        <v>0</v>
      </c>
      <c r="E680" s="3" t="str">
        <f>CONCATENATE(LEFT(dados_01!E680,3),REPT("*",6),RIGHT(dados_01!E680,2))</f>
        <v>******</v>
      </c>
      <c r="F680" s="3">
        <f>dados_01!F680</f>
        <v>0</v>
      </c>
      <c r="G680" s="3">
        <f>dados_01!G680</f>
        <v>0</v>
      </c>
      <c r="H680" s="3">
        <f>dados_01!H680</f>
        <v>0</v>
      </c>
      <c r="I680" s="3">
        <f>dados_01!I680</f>
        <v>0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hidden="1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hidden="1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hidden="1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hidden="1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hidden="1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hidden="1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hidden="1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hidden="1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hidden="1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hidden="1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hidden="1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hidden="1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hidden="1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hidden="1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hidden="1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hidden="1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hidden="1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hidden="1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hidden="1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hidden="1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hidden="1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hidden="1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hidden="1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hidden="1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hidden="1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hidden="1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hidden="1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hidden="1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hidden="1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hidden="1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hidden="1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hidden="1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hidden="1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hidden="1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hidden="1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hidden="1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hidden="1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hidden="1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hidden="1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hidden="1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hidden="1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hidden="1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hidden="1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hidden="1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hidden="1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hidden="1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hidden="1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hidden="1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hidden="1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hidden="1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hidden="1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hidden="1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hidden="1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hidden="1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hidden="1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hidden="1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hidden="1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hidden="1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hidden="1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hidden="1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hidden="1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hidden="1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hidden="1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hidden="1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hidden="1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hidden="1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hidden="1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hidden="1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hidden="1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hidden="1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hidden="1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hidden="1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hidden="1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hidden="1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hidden="1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hidden="1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hidden="1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hidden="1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hidden="1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hidden="1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hidden="1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hidden="1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hidden="1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hidden="1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hidden="1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hidden="1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hidden="1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hidden="1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hidden="1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hidden="1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hidden="1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hidden="1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hidden="1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hidden="1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hidden="1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hidden="1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hidden="1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hidden="1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hidden="1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hidden="1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hidden="1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hidden="1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hidden="1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hidden="1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hidden="1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hidden="1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hidden="1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hidden="1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hidden="1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hidden="1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hidden="1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hidden="1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hidden="1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hidden="1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hidden="1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hidden="1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hidden="1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hidden="1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hidden="1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hidden="1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hidden="1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hidden="1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hidden="1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hidden="1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hidden="1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hidden="1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hidden="1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hidden="1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hidden="1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hidden="1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hidden="1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hidden="1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hidden="1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hidden="1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hidden="1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hidden="1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hidden="1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hidden="1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hidden="1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hidden="1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hidden="1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hidden="1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hidden="1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hidden="1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hidden="1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hidden="1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hidden="1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hidden="1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hidden="1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hidden="1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hidden="1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hidden="1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hidden="1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hidden="1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hidden="1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hidden="1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hidden="1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hidden="1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hidden="1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hidden="1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hidden="1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hidden="1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hidden="1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hidden="1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hidden="1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hidden="1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hidden="1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hidden="1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hidden="1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hidden="1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hidden="1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hidden="1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hidden="1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hidden="1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hidden="1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hidden="1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hidden="1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hidden="1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hidden="1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hidden="1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hidden="1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hidden="1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hidden="1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hidden="1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hidden="1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hidden="1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hidden="1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hidden="1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hidden="1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hidden="1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hidden="1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hidden="1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hidden="1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hidden="1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hidden="1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hidden="1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hidden="1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hidden="1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hidden="1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hidden="1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xmlns:etc="http://www.wps.cn/officeDocument/2017/etCustomData" ref="A1:Z1000" etc:filterBottomFollowUsedRange="0">
    <extLst/>
  </autoFilter>
  <printOptions horizontalCentered="1" gridLines="1"/>
  <pageMargins left="0.7" right="0.7" top="0.75" bottom="0.75" header="0.511811023622047" footer="0.511811023622047"/>
  <pageSetup paperSize="9" fitToHeight="0" pageOrder="overThenDown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R1064"/>
  <sheetViews>
    <sheetView tabSelected="1" workbookViewId="0">
      <selection activeCell="B1" sqref="B1:R1"/>
    </sheetView>
  </sheetViews>
  <sheetFormatPr defaultColWidth="14.43" defaultRowHeight="15" customHeight="1"/>
  <cols>
    <col min="1" max="1" width="13.86" style="92" customWidth="1"/>
    <col min="2" max="2" width="47.43" style="92" customWidth="1"/>
    <col min="3" max="3" width="9" style="92" customWidth="1"/>
    <col min="4" max="4" width="15.14" style="92" customWidth="1"/>
    <col min="5" max="5" width="16" style="92" customWidth="1"/>
    <col min="6" max="6" width="14" style="92" customWidth="1"/>
    <col min="7" max="7" width="10.58" style="92" customWidth="1"/>
    <col min="8" max="8" width="19.43" style="92" customWidth="1"/>
    <col min="9" max="9" width="10.58" style="92" customWidth="1"/>
    <col min="10" max="10" width="3.29" style="92" customWidth="1"/>
    <col min="11" max="11" width="11.71" style="92" customWidth="1"/>
    <col min="12" max="12" width="3.29" style="92" customWidth="1"/>
    <col min="13" max="13" width="10.58" style="92" customWidth="1"/>
    <col min="14" max="14" width="3.29" style="92" customWidth="1"/>
    <col min="15" max="15" width="8.43" style="92" customWidth="1"/>
    <col min="16" max="16" width="4.29" style="92" customWidth="1"/>
    <col min="17" max="17" width="9" style="92" customWidth="1"/>
    <col min="18" max="18" width="11.86" style="92" customWidth="1"/>
    <col min="19" max="16384" width="14.43" style="92"/>
  </cols>
  <sheetData>
    <row r="1" ht="30" customHeight="1" spans="1:18">
      <c r="A1" s="93" t="s">
        <v>1327</v>
      </c>
      <c r="B1" s="94" t="s">
        <v>1328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customHeight="1" spans="1:18">
      <c r="A2" s="95"/>
      <c r="B2" s="94" t="s">
        <v>1329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6"/>
    </row>
    <row r="3" customHeight="1" spans="1:18">
      <c r="A3" s="95"/>
      <c r="B3" s="96"/>
      <c r="C3" s="96"/>
      <c r="D3" s="96"/>
      <c r="E3" s="96"/>
      <c r="F3" s="96"/>
      <c r="G3" s="96"/>
      <c r="H3" s="96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customHeight="1" spans="1:18">
      <c r="A4" s="98" t="s">
        <v>3</v>
      </c>
      <c r="B4" s="99" t="s">
        <v>24</v>
      </c>
      <c r="C4" s="99"/>
      <c r="D4" s="100" t="s">
        <v>1330</v>
      </c>
      <c r="E4" s="100" t="s">
        <v>1331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96"/>
    </row>
    <row r="5" customHeight="1" spans="1:18">
      <c r="A5" s="98"/>
      <c r="B5" s="99"/>
      <c r="C5" s="99"/>
      <c r="D5" s="100"/>
      <c r="E5" s="100" t="s">
        <v>1332</v>
      </c>
      <c r="F5" s="100"/>
      <c r="G5" s="100"/>
      <c r="H5" s="100"/>
      <c r="I5" s="100" t="s">
        <v>1333</v>
      </c>
      <c r="J5" s="100"/>
      <c r="K5" s="100" t="s">
        <v>1334</v>
      </c>
      <c r="L5" s="100"/>
      <c r="M5" s="100"/>
      <c r="N5" s="100"/>
      <c r="O5" s="100"/>
      <c r="P5" s="100"/>
      <c r="Q5" s="101" t="s">
        <v>1335</v>
      </c>
      <c r="R5" s="96"/>
    </row>
    <row r="6" customHeight="1" spans="1:18">
      <c r="A6" s="98"/>
      <c r="B6" s="99"/>
      <c r="C6" s="99"/>
      <c r="D6" s="100"/>
      <c r="E6" s="100" t="s">
        <v>1336</v>
      </c>
      <c r="F6" s="100" t="s">
        <v>1337</v>
      </c>
      <c r="G6" s="100" t="s">
        <v>1338</v>
      </c>
      <c r="H6" s="102" t="s">
        <v>1339</v>
      </c>
      <c r="I6" s="100" t="s">
        <v>1338</v>
      </c>
      <c r="J6" s="100"/>
      <c r="K6" s="100" t="s">
        <v>1340</v>
      </c>
      <c r="L6" s="100"/>
      <c r="M6" s="100" t="s">
        <v>1341</v>
      </c>
      <c r="N6" s="100"/>
      <c r="O6" s="102" t="s">
        <v>1339</v>
      </c>
      <c r="P6" s="102"/>
      <c r="Q6" s="101"/>
      <c r="R6" s="96"/>
    </row>
    <row r="7" customHeight="1" spans="1:18">
      <c r="A7" s="98"/>
      <c r="B7" s="99"/>
      <c r="C7" s="99"/>
      <c r="D7" s="100"/>
      <c r="E7" s="100" t="s">
        <v>1342</v>
      </c>
      <c r="F7" s="100" t="s">
        <v>1342</v>
      </c>
      <c r="G7" s="100" t="s">
        <v>1342</v>
      </c>
      <c r="H7" s="102" t="s">
        <v>1342</v>
      </c>
      <c r="I7" s="100" t="s">
        <v>1343</v>
      </c>
      <c r="J7" s="100" t="s">
        <v>1344</v>
      </c>
      <c r="K7" s="100" t="s">
        <v>1343</v>
      </c>
      <c r="L7" s="100" t="s">
        <v>1344</v>
      </c>
      <c r="M7" s="100" t="s">
        <v>1343</v>
      </c>
      <c r="N7" s="100" t="s">
        <v>1344</v>
      </c>
      <c r="O7" s="102" t="s">
        <v>1343</v>
      </c>
      <c r="P7" s="102" t="s">
        <v>1344</v>
      </c>
      <c r="Q7" s="101" t="s">
        <v>1345</v>
      </c>
      <c r="R7" s="96"/>
    </row>
    <row r="8" customHeight="1" spans="1:18">
      <c r="A8" s="95"/>
      <c r="B8" s="103" t="s">
        <v>1346</v>
      </c>
      <c r="C8" s="103"/>
      <c r="D8" s="104" t="s">
        <v>1347</v>
      </c>
      <c r="E8" s="105">
        <f>IFERROR(__xludf.dummyfunction("IMPORTRANGE(XLOOKUP($A$9,Tabela_Dados_Esc_JAB_2026[INEP],Tabela_Dados_Esc_JAB_2026[ID]),""ESCOLA!P12"")"),15)</f>
        <v>15</v>
      </c>
      <c r="F8" s="105">
        <f>IFERROR(__xludf.dummyfunction("IMPORTRANGE(XLOOKUP($A$9,Tabela_Dados_Esc_JAB_2026[INEP],Tabela_Dados_Esc_JAB_2026[ID]),""ESCOLA!P14"")"),30)</f>
        <v>30</v>
      </c>
      <c r="G8" s="105">
        <v>0</v>
      </c>
      <c r="H8" s="106">
        <f>SUM(E8:G8)</f>
        <v>45</v>
      </c>
      <c r="I8" s="105">
        <f>IFERROR(__xludf.dummyfunction("IMPORTRANGE(XLOOKUP($A$9,Tabela_Dados_Esc_JAB_2026[INEP],Tabela_Dados_Esc_JAB_2026[ID]),""ESCOLA!D18"")"),20)</f>
        <v>20</v>
      </c>
      <c r="J8" s="105">
        <f>IFERROR(__xludf.dummyfunction("IMPORTRANGE(XLOOKUP($A$9,Tabela_Dados_Esc_JAB_2026[INEP],Tabela_Dados_Esc_JAB_2026[ID]),""ESCOLA!H18"")"),20)</f>
        <v>20</v>
      </c>
      <c r="K8" s="105">
        <f>IFERROR(__xludf.dummyfunction("IMPORTRANGE(XLOOKUP($A$9,Tabela_Dados_Esc_JAB_2026[INEP],Tabela_Dados_Esc_JAB_2026[ID]),""ESCOLA!D20"")"),40)</f>
        <v>40</v>
      </c>
      <c r="L8" s="105">
        <f>IFERROR(__xludf.dummyfunction("IMPORTRANGE(XLOOKUP($A$9,Tabela_Dados_Esc_JAB_2026[INEP],Tabela_Dados_Esc_JAB_2026[ID]),""ESCOLA!H20"")"),20)</f>
        <v>20</v>
      </c>
      <c r="M8" s="105">
        <f>IFERROR(__xludf.dummyfunction("IMPORTRANGE(XLOOKUP($A$9,Tabela_Dados_Esc_JAB_2026[INEP],Tabela_Dados_Esc_JAB_2026[ID]),""ESCOLA!D22"")"),20)</f>
        <v>20</v>
      </c>
      <c r="N8" s="105">
        <f>IFERROR(__xludf.dummyfunction("IMPORTRANGE(XLOOKUP($A$9,Tabela_Dados_Esc_JAB_2026[INEP],Tabela_Dados_Esc_JAB_2026[ID]),""ESCOLA!H22"")"),40)</f>
        <v>40</v>
      </c>
      <c r="O8" s="106">
        <f>SUM(I8,K8,M8)</f>
        <v>80</v>
      </c>
      <c r="P8" s="106">
        <f>SUM(J8,L8,N8)</f>
        <v>80</v>
      </c>
      <c r="Q8" s="107">
        <f>SUM(H8,O8,P8)</f>
        <v>205</v>
      </c>
      <c r="R8" s="108"/>
    </row>
    <row r="9" customHeight="1" spans="1:18">
      <c r="A9" s="95" t="s">
        <v>67</v>
      </c>
      <c r="B9" s="103"/>
      <c r="C9" s="103"/>
      <c r="D9" s="104" t="s">
        <v>1348</v>
      </c>
      <c r="E9" s="105">
        <f>IFERROR(__xludf.dummyfunction("IMPORTRANGE(XLOOKUP($A$9,Tabela_Dados_Esc_JAB_2026[INEP],Tabela_Dados_Esc_JAB_2026[ID]),""ESCOLA!Q12"")"),15)</f>
        <v>15</v>
      </c>
      <c r="F9" s="105">
        <f>IFERROR(__xludf.dummyfunction("IMPORTRANGE(XLOOKUP($A$9,Tabela_Dados_Esc_JAB_2026[INEP],Tabela_Dados_Esc_JAB_2026[ID]),""ESCOLA!Q14"")"),29)</f>
        <v>29</v>
      </c>
      <c r="G9" s="105">
        <f>IFERROR(__xludf.dummyfunction("IMPORTRANGE(XLOOKUP($A$9,Tabela_Dados_Esc_JAB_2026[INEP],Tabela_Dados_Esc_JAB_2026[ID]),""ESCOLA!Q16"")"),0)</f>
        <v>0</v>
      </c>
      <c r="H9" s="106">
        <f>SUM(E9:G9)</f>
        <v>44</v>
      </c>
      <c r="I9" s="105">
        <f>IFERROR(__xludf.dummyfunction("IMPORTRANGE(XLOOKUP($A$9,Tabela_Dados_Esc_JAB_2026[INEP],Tabela_Dados_Esc_JAB_2026[ID]),""ESCOLA!E18"")"),20)</f>
        <v>20</v>
      </c>
      <c r="J9" s="105">
        <f>IFERROR(__xludf.dummyfunction("IMPORTRANGE(XLOOKUP($A$9,Tabela_Dados_Esc_JAB_2026[INEP],Tabela_Dados_Esc_JAB_2026[ID]),""ESCOLA!I18"")"),19)</f>
        <v>19</v>
      </c>
      <c r="K9" s="105">
        <f>IFERROR(__xludf.dummyfunction("IMPORTRANGE(XLOOKUP($A$9,Tabela_Dados_Esc_JAB_2026[INEP],Tabela_Dados_Esc_JAB_2026[ID]),""ESCOLA!E20"")"),36)</f>
        <v>36</v>
      </c>
      <c r="L9" s="105">
        <f>IFERROR(__xludf.dummyfunction("IMPORTRANGE(XLOOKUP($A$9,Tabela_Dados_Esc_JAB_2026[INEP],Tabela_Dados_Esc_JAB_2026[ID]),""ESCOLA!I20"")"),20)</f>
        <v>20</v>
      </c>
      <c r="M9" s="105">
        <f>IFERROR(__xludf.dummyfunction("IMPORTRANGE(XLOOKUP($A$9,Tabela_Dados_Esc_JAB_2026[INEP],Tabela_Dados_Esc_JAB_2026[ID]),""ESCOLA!E22"")"),17)</f>
        <v>17</v>
      </c>
      <c r="N9" s="105">
        <f>IFERROR(__xludf.dummyfunction("IMPORTRANGE(XLOOKUP($A$9,Tabela_Dados_Esc_JAB_2026[INEP],Tabela_Dados_Esc_JAB_2026[ID]),""ESCOLA!I22"")"),31)</f>
        <v>31</v>
      </c>
      <c r="O9" s="106">
        <f>SUM(I9,K9,M9)</f>
        <v>73</v>
      </c>
      <c r="P9" s="106">
        <f>SUM(J9,L9,N9)</f>
        <v>70</v>
      </c>
      <c r="Q9" s="107">
        <f>SUM(H9,O9,P9)</f>
        <v>187</v>
      </c>
      <c r="R9" s="108"/>
    </row>
    <row r="10" customHeight="1" spans="1:18">
      <c r="A10" s="95"/>
      <c r="B10" s="103"/>
      <c r="C10" s="103"/>
      <c r="D10" s="109" t="s">
        <v>1349</v>
      </c>
      <c r="E10" s="110">
        <f t="shared" ref="E10:Q10" si="0">SUM(E8-E9)</f>
        <v>0</v>
      </c>
      <c r="F10" s="110">
        <f t="shared" si="0"/>
        <v>1</v>
      </c>
      <c r="G10" s="110">
        <f t="shared" si="0"/>
        <v>0</v>
      </c>
      <c r="H10" s="110">
        <f t="shared" si="0"/>
        <v>1</v>
      </c>
      <c r="I10" s="110">
        <f t="shared" si="0"/>
        <v>0</v>
      </c>
      <c r="J10" s="110">
        <f t="shared" si="0"/>
        <v>1</v>
      </c>
      <c r="K10" s="110">
        <f t="shared" si="0"/>
        <v>4</v>
      </c>
      <c r="L10" s="110">
        <f t="shared" si="0"/>
        <v>0</v>
      </c>
      <c r="M10" s="110">
        <f t="shared" si="0"/>
        <v>3</v>
      </c>
      <c r="N10" s="110">
        <f t="shared" si="0"/>
        <v>9</v>
      </c>
      <c r="O10" s="110">
        <f t="shared" si="0"/>
        <v>7</v>
      </c>
      <c r="P10" s="110">
        <f t="shared" si="0"/>
        <v>10</v>
      </c>
      <c r="Q10" s="110">
        <f t="shared" si="0"/>
        <v>18</v>
      </c>
      <c r="R10" s="108"/>
    </row>
    <row r="11" customHeight="1" spans="1:18">
      <c r="A11" s="95"/>
      <c r="B11" s="103" t="s">
        <v>78</v>
      </c>
      <c r="C11" s="103"/>
      <c r="D11" s="104" t="s">
        <v>1347</v>
      </c>
      <c r="E11" s="105" t="str">
        <f>IFERROR(__xludf.dummyfunction("IMPORTRANGE(XLOOKUP($A$12,Tabela_Dados_Esc_JAB_2026[INEP],Tabela_Dados_Esc_JAB_2026[ID]),""ESCOLA!P12"")"),"0")</f>
        <v>0</v>
      </c>
      <c r="F11" s="105">
        <v>0</v>
      </c>
      <c r="G11" s="105">
        <v>0</v>
      </c>
      <c r="H11" s="106">
        <f>SUM(E11:G11)</f>
        <v>0</v>
      </c>
      <c r="I11" s="105">
        <f>IFERROR(__xludf.dummyfunction("IMPORTRANGE(XLOOKUP($A$12,Tabela_Dados_Esc_JAB_2026[INEP],Tabela_Dados_Esc_JAB_2026[ID]),""ESCOLA!D18"")"),32)</f>
        <v>32</v>
      </c>
      <c r="J11" s="105">
        <f>IFERROR(__xludf.dummyfunction("IMPORTRANGE(XLOOKUP($A$12,Tabela_Dados_Esc_JAB_2026[INEP],Tabela_Dados_Esc_JAB_2026[ID]),""ESCOLA!H18"")"),44)</f>
        <v>44</v>
      </c>
      <c r="K11" s="105">
        <f>IFERROR(__xludf.dummyfunction("IMPORTRANGE(XLOOKUP($A$12,Tabela_Dados_Esc_JAB_2026[INEP],Tabela_Dados_Esc_JAB_2026[ID]),""ESCOLA!D20"")"),44)</f>
        <v>44</v>
      </c>
      <c r="L11" s="105">
        <f>IFERROR(__xludf.dummyfunction("IMPORTRANGE(XLOOKUP($A$12,Tabela_Dados_Esc_JAB_2026[INEP],Tabela_Dados_Esc_JAB_2026[ID]),""ESCOLA!H20"")"),38)</f>
        <v>38</v>
      </c>
      <c r="M11" s="105">
        <f>IFERROR(__xludf.dummyfunction("IMPORTRANGE(XLOOKUP($A$12,Tabela_Dados_Esc_JAB_2026[INEP],Tabela_Dados_Esc_JAB_2026[ID]),""ESCOLA!D22"")"),52)</f>
        <v>52</v>
      </c>
      <c r="N11" s="105">
        <f>IFERROR(__xludf.dummyfunction("IMPORTRANGE(XLOOKUP($A$12,Tabela_Dados_Esc_JAB_2026[INEP],Tabela_Dados_Esc_JAB_2026[ID]),""ESCOLA!H22"")"),46)</f>
        <v>46</v>
      </c>
      <c r="O11" s="106">
        <f>SUM(I11,K11,M11)</f>
        <v>128</v>
      </c>
      <c r="P11" s="106">
        <f>SUM(J11,L11,N11)</f>
        <v>128</v>
      </c>
      <c r="Q11" s="107">
        <f>SUM(H11,O11,P11)</f>
        <v>256</v>
      </c>
      <c r="R11" s="108"/>
    </row>
    <row r="12" customHeight="1" spans="1:18">
      <c r="A12" s="95" t="s">
        <v>77</v>
      </c>
      <c r="B12" s="103"/>
      <c r="C12" s="103"/>
      <c r="D12" s="104" t="s">
        <v>1348</v>
      </c>
      <c r="E12" s="105">
        <f>IFERROR(__xludf.dummyfunction("IMPORTRANGE(XLOOKUP($A$12,Tabela_Dados_Esc_JAB_2026[INEP],Tabela_Dados_Esc_JAB_2026[ID]),""ESCOLA!Q12"")"),0)</f>
        <v>0</v>
      </c>
      <c r="F12" s="105">
        <f>IFERROR(__xludf.dummyfunction("IMPORTRANGE(XLOOKUP($A$12,Tabela_Dados_Esc_JAB_2026[INEP],Tabela_Dados_Esc_JAB_2026[ID]),""ESCOLA!Q14"")"),0)</f>
        <v>0</v>
      </c>
      <c r="G12" s="105">
        <v>0</v>
      </c>
      <c r="H12" s="106">
        <f>SUM(E12:G12)</f>
        <v>0</v>
      </c>
      <c r="I12" s="105">
        <f>IFERROR(__xludf.dummyfunction("IMPORTRANGE(XLOOKUP($A$12,Tabela_Dados_Esc_JAB_2026[INEP],Tabela_Dados_Esc_JAB_2026[ID]),""ESCOLA!E18"")"),33)</f>
        <v>33</v>
      </c>
      <c r="J12" s="105">
        <f>IFERROR(__xludf.dummyfunction("IMPORTRANGE(XLOOKUP($A$12,Tabela_Dados_Esc_JAB_2026[INEP],Tabela_Dados_Esc_JAB_2026[ID]),""ESCOLA!I18"")"),44)</f>
        <v>44</v>
      </c>
      <c r="K12" s="105">
        <f>IFERROR(__xludf.dummyfunction("IMPORTRANGE(XLOOKUP($A$12,Tabela_Dados_Esc_JAB_2026[INEP],Tabela_Dados_Esc_JAB_2026[ID]),""ESCOLA!E20"")"),41)</f>
        <v>41</v>
      </c>
      <c r="L12" s="105">
        <f>IFERROR(__xludf.dummyfunction("IMPORTRANGE(XLOOKUP($A$12,Tabela_Dados_Esc_JAB_2026[INEP],Tabela_Dados_Esc_JAB_2026[ID]),""ESCOLA!I20"")"),36)</f>
        <v>36</v>
      </c>
      <c r="M12" s="105">
        <f>IFERROR(__xludf.dummyfunction("IMPORTRANGE(XLOOKUP($A$12,Tabela_Dados_Esc_JAB_2026[INEP],Tabela_Dados_Esc_JAB_2026[ID]),""ESCOLA!E22"")"),51)</f>
        <v>51</v>
      </c>
      <c r="N12" s="105">
        <f>IFERROR(__xludf.dummyfunction("IMPORTRANGE(XLOOKUP($A$12,Tabela_Dados_Esc_JAB_2026[INEP],Tabela_Dados_Esc_JAB_2026[ID]),""ESCOLA!I22"")"),46)</f>
        <v>46</v>
      </c>
      <c r="O12" s="106">
        <f>SUM(I12,K12,M12)</f>
        <v>125</v>
      </c>
      <c r="P12" s="106">
        <f>SUM(J12,L12,N12)</f>
        <v>126</v>
      </c>
      <c r="Q12" s="107">
        <f>SUM(H12,O12,P12)</f>
        <v>251</v>
      </c>
      <c r="R12" s="108"/>
    </row>
    <row r="13" customHeight="1" spans="1:18">
      <c r="A13" s="95"/>
      <c r="B13" s="103"/>
      <c r="C13" s="103"/>
      <c r="D13" s="109" t="s">
        <v>1349</v>
      </c>
      <c r="E13" s="110">
        <f t="shared" ref="E13:Q13" si="1">SUM(E11-E12)</f>
        <v>0</v>
      </c>
      <c r="F13" s="110">
        <f t="shared" si="1"/>
        <v>0</v>
      </c>
      <c r="G13" s="110">
        <f t="shared" si="1"/>
        <v>0</v>
      </c>
      <c r="H13" s="110">
        <f t="shared" si="1"/>
        <v>0</v>
      </c>
      <c r="I13" s="110">
        <f t="shared" si="1"/>
        <v>-1</v>
      </c>
      <c r="J13" s="110">
        <f t="shared" si="1"/>
        <v>0</v>
      </c>
      <c r="K13" s="110">
        <f t="shared" si="1"/>
        <v>3</v>
      </c>
      <c r="L13" s="110">
        <f t="shared" si="1"/>
        <v>2</v>
      </c>
      <c r="M13" s="110">
        <f t="shared" si="1"/>
        <v>1</v>
      </c>
      <c r="N13" s="110">
        <f t="shared" si="1"/>
        <v>0</v>
      </c>
      <c r="O13" s="110">
        <f t="shared" si="1"/>
        <v>3</v>
      </c>
      <c r="P13" s="110">
        <f t="shared" si="1"/>
        <v>2</v>
      </c>
      <c r="Q13" s="110">
        <f t="shared" si="1"/>
        <v>5</v>
      </c>
      <c r="R13" s="108"/>
    </row>
    <row r="14" customHeight="1" spans="1:18">
      <c r="A14" s="95"/>
      <c r="B14" s="103" t="s">
        <v>96</v>
      </c>
      <c r="C14" s="103"/>
      <c r="D14" s="104" t="s">
        <v>1347</v>
      </c>
      <c r="E14" s="105">
        <f>IFERROR(__xludf.dummyfunction("IMPORTRANGE(XLOOKUP($A$15,Tabela_Dados_Esc_JAB_2026[INEP],Tabela_Dados_Esc_JAB_2026[ID]),""ESCOLA!P12"")"),30)</f>
        <v>30</v>
      </c>
      <c r="F14" s="105">
        <f>IFERROR(__xludf.dummyfunction("IMPORTRANGE(XLOOKUP($A$15,Tabela_Dados_Esc_JAB_2026[INEP],Tabela_Dados_Esc_JAB_2026[ID]),""ESCOLA!P14"")"),45)</f>
        <v>45</v>
      </c>
      <c r="G14" s="105">
        <f>IFERROR(__xludf.dummyfunction("IMPORTRANGE(XLOOKUP($A$15,Tabela_Dados_Esc_JAB_2026[INEP],Tabela_Dados_Esc_JAB_2026[ID]),""ESCOLA!P16"")"),36)</f>
        <v>36</v>
      </c>
      <c r="H14" s="106">
        <f>SUM(E14:G14)</f>
        <v>111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106">
        <f>SUM(I14,K14,M14)</f>
        <v>0</v>
      </c>
      <c r="P14" s="106">
        <f>SUM(J14,L14,N14)</f>
        <v>0</v>
      </c>
      <c r="Q14" s="107">
        <f>SUM(H14,O14,P14)</f>
        <v>111</v>
      </c>
      <c r="R14" s="108"/>
    </row>
    <row r="15" customHeight="1" spans="1:18">
      <c r="A15" s="95" t="s">
        <v>95</v>
      </c>
      <c r="B15" s="103"/>
      <c r="C15" s="103"/>
      <c r="D15" s="104" t="s">
        <v>1348</v>
      </c>
      <c r="E15" s="105">
        <f>IFERROR(__xludf.dummyfunction("IMPORTRANGE(XLOOKUP($A$15,Tabela_Dados_Esc_JAB_2026[INEP],Tabela_Dados_Esc_JAB_2026[ID]),""ESCOLA!Q12"")"),30)</f>
        <v>30</v>
      </c>
      <c r="F15" s="105">
        <f>IFERROR(__xludf.dummyfunction("IMPORTRANGE(XLOOKUP($A$15,Tabela_Dados_Esc_JAB_2026[INEP],Tabela_Dados_Esc_JAB_2026[ID]),""ESCOLA!Q14"")"),43)</f>
        <v>43</v>
      </c>
      <c r="G15" s="105">
        <f>IFERROR(__xludf.dummyfunction("IMPORTRANGE(XLOOKUP($A$15,Tabela_Dados_Esc_JAB_2026[INEP],Tabela_Dados_Esc_JAB_2026[ID]),""ESCOLA!Q16"")"),35)</f>
        <v>35</v>
      </c>
      <c r="H15" s="106">
        <f>SUM(E15:G15)</f>
        <v>108</v>
      </c>
      <c r="I15" s="105">
        <f>IFERROR(__xludf.dummyfunction("IMPORTRANGE(XLOOKUP($A$15,Tabela_Dados_Esc_JAB_2026[INEP],Tabela_Dados_Esc_JAB_2026[ID]),""ESCOLA!E18"")"),0)</f>
        <v>0</v>
      </c>
      <c r="J15" s="105">
        <f>IFERROR(__xludf.dummyfunction("IMPORTRANGE(XLOOKUP($A$15,Tabela_Dados_Esc_JAB_2026[INEP],Tabela_Dados_Esc_JAB_2026[ID]),""ESCOLA!I18"")"),0)</f>
        <v>0</v>
      </c>
      <c r="K15" s="105">
        <f>IFERROR(__xludf.dummyfunction("IMPORTRANGE(XLOOKUP($A$15,Tabela_Dados_Esc_JAB_2026[INEP],Tabela_Dados_Esc_JAB_2026[ID]),""ESCOLA!E20"")"),0)</f>
        <v>0</v>
      </c>
      <c r="L15" s="105">
        <f>IFERROR(__xludf.dummyfunction("IMPORTRANGE(XLOOKUP($A$15,Tabela_Dados_Esc_JAB_2026[INEP],Tabela_Dados_Esc_JAB_2026[ID]),""ESCOLA!I20"")"),0)</f>
        <v>0</v>
      </c>
      <c r="M15" s="105">
        <f>IFERROR(__xludf.dummyfunction("IMPORTRANGE(XLOOKUP($A$15,Tabela_Dados_Esc_JAB_2026[INEP],Tabela_Dados_Esc_JAB_2026[ID]),""ESCOLA!E22"")"),0)</f>
        <v>0</v>
      </c>
      <c r="N15" s="105">
        <f>IFERROR(__xludf.dummyfunction("IMPORTRANGE(XLOOKUP($A$15,Tabela_Dados_Esc_JAB_2026[INEP],Tabela_Dados_Esc_JAB_2026[ID]),""ESCOLA!I22"")"),0)</f>
        <v>0</v>
      </c>
      <c r="O15" s="106">
        <v>0</v>
      </c>
      <c r="P15" s="106">
        <f>SUM(J15,L15,N15)</f>
        <v>0</v>
      </c>
      <c r="Q15" s="107">
        <f>SUM(H15,O15,P15)</f>
        <v>108</v>
      </c>
      <c r="R15" s="108"/>
    </row>
    <row r="16" customHeight="1" spans="1:18">
      <c r="A16" s="95"/>
      <c r="B16" s="103"/>
      <c r="C16" s="103"/>
      <c r="D16" s="109" t="s">
        <v>1349</v>
      </c>
      <c r="E16" s="110">
        <f t="shared" ref="E16:Q16" si="2">SUM(E14-E15)</f>
        <v>0</v>
      </c>
      <c r="F16" s="110">
        <f t="shared" si="2"/>
        <v>2</v>
      </c>
      <c r="G16" s="110">
        <f t="shared" si="2"/>
        <v>1</v>
      </c>
      <c r="H16" s="110">
        <f t="shared" si="2"/>
        <v>3</v>
      </c>
      <c r="I16" s="110">
        <f t="shared" si="2"/>
        <v>0</v>
      </c>
      <c r="J16" s="110">
        <f t="shared" si="2"/>
        <v>0</v>
      </c>
      <c r="K16" s="110">
        <f t="shared" si="2"/>
        <v>0</v>
      </c>
      <c r="L16" s="110">
        <f t="shared" si="2"/>
        <v>0</v>
      </c>
      <c r="M16" s="110">
        <f t="shared" si="2"/>
        <v>0</v>
      </c>
      <c r="N16" s="110">
        <f t="shared" si="2"/>
        <v>0</v>
      </c>
      <c r="O16" s="110">
        <f t="shared" si="2"/>
        <v>0</v>
      </c>
      <c r="P16" s="110">
        <f t="shared" si="2"/>
        <v>0</v>
      </c>
      <c r="Q16" s="110">
        <f t="shared" si="2"/>
        <v>3</v>
      </c>
      <c r="R16" s="108"/>
    </row>
    <row r="17" customHeight="1" spans="1:18">
      <c r="A17" s="95"/>
      <c r="B17" s="103" t="s">
        <v>1350</v>
      </c>
      <c r="C17" s="103"/>
      <c r="D17" s="104" t="s">
        <v>1347</v>
      </c>
      <c r="E17" s="105">
        <f>IFERROR(__xludf.dummyfunction("IMPORTRANGE(XLOOKUP($A$18,Tabela_Dados_Esc_JAB_2026[INEP],Tabela_Dados_Esc_JAB_2026[ID]),""ESCOLA!P12"")"),15)</f>
        <v>15</v>
      </c>
      <c r="F17" s="105">
        <f>IFERROR(__xludf.dummyfunction("IMPORTRANGE(XLOOKUP($A$18,Tabela_Dados_Esc_JAB_2026[INEP],Tabela_Dados_Esc_JAB_2026[ID]),""ESCOLA!P14"")"),15)</f>
        <v>15</v>
      </c>
      <c r="G17" s="105">
        <f>IFERROR(__xludf.dummyfunction("IMPORTRANGE(XLOOKUP($A$18,Tabela_Dados_Esc_JAB_2026[INEP],Tabela_Dados_Esc_JAB_2026[ID]),""ESCOLA!P16"")"),40)</f>
        <v>40</v>
      </c>
      <c r="H17" s="106">
        <f>SUM(E17:G17)</f>
        <v>70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6">
        <f>SUM(I17,K17,M17)</f>
        <v>0</v>
      </c>
      <c r="P17" s="106">
        <f>SUM(J17,L17,N17)</f>
        <v>0</v>
      </c>
      <c r="Q17" s="107">
        <f>SUM(H17,O17,P17)</f>
        <v>70</v>
      </c>
      <c r="R17" s="108"/>
    </row>
    <row r="18" customHeight="1" spans="1:18">
      <c r="A18" s="95" t="s">
        <v>104</v>
      </c>
      <c r="B18" s="103"/>
      <c r="C18" s="103"/>
      <c r="D18" s="104" t="s">
        <v>1348</v>
      </c>
      <c r="E18" s="105">
        <f>IFERROR(__xludf.dummyfunction("IMPORTRANGE(XLOOKUP($A$18,Tabela_Dados_Esc_JAB_2026[INEP],Tabela_Dados_Esc_JAB_2026[ID]),""ESCOLA!Q12"")"),15)</f>
        <v>15</v>
      </c>
      <c r="F18" s="105">
        <f>IFERROR(__xludf.dummyfunction("IMPORTRANGE(XLOOKUP($A$18,Tabela_Dados_Esc_JAB_2026[INEP],Tabela_Dados_Esc_JAB_2026[ID]),""ESCOLA!Q14"")"),16)</f>
        <v>16</v>
      </c>
      <c r="G18" s="105">
        <f>IFERROR(__xludf.dummyfunction("IMPORTRANGE(XLOOKUP($A$18,Tabela_Dados_Esc_JAB_2026[INEP],Tabela_Dados_Esc_JAB_2026[ID]),""ESCOLA!Q16"")"),40)</f>
        <v>40</v>
      </c>
      <c r="H18" s="106">
        <f>SUM(E18:G18)</f>
        <v>71</v>
      </c>
      <c r="I18" s="105">
        <f>IFERROR(__xludf.dummyfunction("IMPORTRANGE(XLOOKUP($A$18,Tabela_Dados_Esc_JAB_2026[INEP],Tabela_Dados_Esc_JAB_2026[ID]),""ESCOLA!E18"")"),0)</f>
        <v>0</v>
      </c>
      <c r="J18" s="105">
        <f>IFERROR(__xludf.dummyfunction("IMPORTRANGE(XLOOKUP($A$18,Tabela_Dados_Esc_JAB_2026[INEP],Tabela_Dados_Esc_JAB_2026[ID]),""ESCOLA!I18"")"),0)</f>
        <v>0</v>
      </c>
      <c r="K18" s="105">
        <f>IFERROR(__xludf.dummyfunction("IMPORTRANGE(XLOOKUP($A$18,Tabela_Dados_Esc_JAB_2026[INEP],Tabela_Dados_Esc_JAB_2026[ID]),""ESCOLA!E20"")"),0)</f>
        <v>0</v>
      </c>
      <c r="L18" s="105">
        <f>IFERROR(__xludf.dummyfunction("IMPORTRANGE(XLOOKUP($A$18,Tabela_Dados_Esc_JAB_2026[INEP],Tabela_Dados_Esc_JAB_2026[ID]),""ESCOLA!I20"")"),0)</f>
        <v>0</v>
      </c>
      <c r="M18" s="105">
        <f>IFERROR(__xludf.dummyfunction("IMPORTRANGE(XLOOKUP($A$18,Tabela_Dados_Esc_JAB_2026[INEP],Tabela_Dados_Esc_JAB_2026[ID]),""ESCOLA!E22"")"),0)</f>
        <v>0</v>
      </c>
      <c r="N18" s="105">
        <f>IFERROR(__xludf.dummyfunction("IMPORTRANGE(XLOOKUP($A$18,Tabela_Dados_Esc_JAB_2026[INEP],Tabela_Dados_Esc_JAB_2026[ID]),""ESCOLA!I22"")"),0)</f>
        <v>0</v>
      </c>
      <c r="O18" s="106">
        <v>0</v>
      </c>
      <c r="P18" s="106">
        <f>SUM(J18,L18,N18)</f>
        <v>0</v>
      </c>
      <c r="Q18" s="107">
        <f>SUM(H18,O18,P18)</f>
        <v>71</v>
      </c>
      <c r="R18" s="108"/>
    </row>
    <row r="19" customHeight="1" spans="1:18">
      <c r="A19" s="95"/>
      <c r="B19" s="103"/>
      <c r="C19" s="103"/>
      <c r="D19" s="109" t="s">
        <v>1349</v>
      </c>
      <c r="E19" s="110">
        <f t="shared" ref="E19:J19" si="3">SUM(E17-E18)</f>
        <v>0</v>
      </c>
      <c r="F19" s="110">
        <f t="shared" si="3"/>
        <v>-1</v>
      </c>
      <c r="G19" s="110">
        <f t="shared" si="3"/>
        <v>0</v>
      </c>
      <c r="H19" s="110">
        <f t="shared" si="3"/>
        <v>-1</v>
      </c>
      <c r="I19" s="110">
        <f t="shared" si="3"/>
        <v>0</v>
      </c>
      <c r="J19" s="110">
        <f t="shared" si="3"/>
        <v>0</v>
      </c>
      <c r="K19" s="110">
        <f t="shared" ref="K19:Q19" si="4">SUM(K17-K20)</f>
        <v>0</v>
      </c>
      <c r="L19" s="110">
        <f t="shared" si="4"/>
        <v>0</v>
      </c>
      <c r="M19" s="110">
        <f t="shared" si="4"/>
        <v>0</v>
      </c>
      <c r="N19" s="110">
        <f t="shared" si="4"/>
        <v>0</v>
      </c>
      <c r="O19" s="110">
        <f t="shared" si="4"/>
        <v>0</v>
      </c>
      <c r="P19" s="110">
        <f t="shared" si="4"/>
        <v>0</v>
      </c>
      <c r="Q19" s="110">
        <f t="shared" si="4"/>
        <v>70</v>
      </c>
      <c r="R19" s="108"/>
    </row>
    <row r="20" customHeight="1" spans="1:18">
      <c r="A20" s="95"/>
      <c r="B20" s="96"/>
      <c r="C20" s="96"/>
      <c r="D20" s="96"/>
      <c r="E20" s="96"/>
      <c r="F20" s="96"/>
      <c r="G20" s="96"/>
      <c r="H20" s="96"/>
      <c r="I20" s="97"/>
      <c r="J20" s="97"/>
      <c r="K20" s="97"/>
      <c r="L20" s="97"/>
      <c r="M20" s="97"/>
      <c r="N20" s="97"/>
      <c r="O20" s="97"/>
      <c r="P20" s="97"/>
      <c r="Q20" s="97"/>
      <c r="R20" s="97"/>
    </row>
    <row r="21" customHeight="1" spans="1:18">
      <c r="A21" s="95"/>
      <c r="B21" s="96"/>
      <c r="C21" s="96"/>
      <c r="D21" s="96"/>
      <c r="E21" s="96"/>
      <c r="F21" s="96"/>
      <c r="G21" s="96"/>
      <c r="H21" s="96"/>
      <c r="I21" s="97"/>
      <c r="J21" s="97"/>
      <c r="K21" s="97"/>
      <c r="L21" s="97"/>
      <c r="M21" s="97"/>
      <c r="N21" s="97"/>
      <c r="O21" s="97"/>
      <c r="P21" s="97"/>
      <c r="Q21" s="97"/>
      <c r="R21" s="97"/>
    </row>
    <row r="22" customHeight="1" spans="1:18">
      <c r="A22" s="95"/>
      <c r="B22" s="96"/>
      <c r="C22" s="96"/>
      <c r="D22" s="96"/>
      <c r="E22" s="96"/>
      <c r="F22" s="96"/>
      <c r="G22" s="96"/>
      <c r="H22" s="96"/>
      <c r="I22" s="97"/>
      <c r="J22" s="97"/>
      <c r="K22" s="97"/>
      <c r="L22" s="97"/>
      <c r="M22" s="97"/>
      <c r="N22" s="97"/>
      <c r="O22" s="97"/>
      <c r="P22" s="97"/>
      <c r="Q22" s="97"/>
      <c r="R22" s="97"/>
    </row>
    <row r="23" customHeight="1" spans="1:18">
      <c r="A23" s="111" t="s">
        <v>23</v>
      </c>
      <c r="B23" s="112" t="s">
        <v>15</v>
      </c>
      <c r="C23" s="113" t="s">
        <v>1351</v>
      </c>
      <c r="D23" s="113" t="s">
        <v>16</v>
      </c>
      <c r="E23" s="113" t="s">
        <v>17</v>
      </c>
      <c r="F23" s="113" t="s">
        <v>11</v>
      </c>
      <c r="G23" s="114" t="s">
        <v>18</v>
      </c>
      <c r="H23" s="115" t="s">
        <v>19</v>
      </c>
      <c r="I23" s="97"/>
      <c r="J23" s="97"/>
      <c r="K23" s="97"/>
      <c r="L23" s="97"/>
      <c r="M23" s="97"/>
      <c r="N23" s="97"/>
      <c r="O23" s="97"/>
      <c r="P23" s="97"/>
      <c r="Q23" s="97"/>
      <c r="R23" s="97"/>
    </row>
    <row r="24" customHeight="1" spans="1:18">
      <c r="A24" s="116" t="str">
        <f t="shared" ref="A24:A64" si="5">IF(B24&lt;&gt;"","REGIONAL 1","")</f>
        <v>REGIONAL 1</v>
      </c>
      <c r="B24" s="117" t="str">
        <f>IFERROR(__xludf.dummyfunction("QUERY(dados_02!$A$2:$H$675, ""SELECT Col1, Col2, Col3, Col4, Col5, Col6, Col7  where Col8 = 'REGIONAL 1' "")"),"02/02/2026 15:26:58")</f>
        <v>02/02/2026 15:26:58</v>
      </c>
      <c r="C24" s="118" t="str">
        <f>IFERROR(__xludf.dummyfunction("""COMPUTED_VALUE"""),"1")</f>
        <v>1</v>
      </c>
      <c r="D24" s="97" t="str">
        <f>IFERROR(__xludf.dummyfunction("""COMPUTED_VALUE"""),"D. L. D. A")</f>
        <v>D. L. D. A</v>
      </c>
      <c r="E24" s="119" t="str">
        <f>IFERROR(__xludf.dummyfunction("""COMPUTED_VALUE"""),"14/05/2022")</f>
        <v>14/05/2022</v>
      </c>
      <c r="F24" s="97" t="str">
        <f>IFERROR(__xludf.dummyfunction("""COMPUTED_VALUE"""),"181******32")</f>
        <v>181******32</v>
      </c>
      <c r="G24" s="97" t="str">
        <f>IFERROR(__xludf.dummyfunction("""COMPUTED_VALUE"""),"INFANTIL 3")</f>
        <v>INFANTIL 3</v>
      </c>
      <c r="H24" s="97" t="str">
        <f>IFERROR(__xludf.dummyfunction("""COMPUTED_VALUE"""),"CEMEI SANTO AMARO")</f>
        <v>CEMEI SANTO AMARO</v>
      </c>
      <c r="I24" s="97"/>
      <c r="J24" s="97"/>
      <c r="K24" s="97"/>
      <c r="L24" s="97"/>
      <c r="M24" s="97"/>
      <c r="N24" s="97"/>
      <c r="O24" s="97"/>
      <c r="P24" s="97"/>
      <c r="Q24" s="97"/>
      <c r="R24" s="97"/>
    </row>
    <row r="25" customHeight="1" spans="1:18">
      <c r="A25" s="116" t="str">
        <f t="shared" si="5"/>
        <v>REGIONAL 1</v>
      </c>
      <c r="B25" s="117" t="str">
        <f>IFERROR(__xludf.dummyfunction("""COMPUTED_VALUE"""),"10/02/2026 08:09:45")</f>
        <v>10/02/2026 08:09:45</v>
      </c>
      <c r="C25" s="118" t="str">
        <f>IFERROR(__xludf.dummyfunction("""COMPUTED_VALUE"""),"2")</f>
        <v>2</v>
      </c>
      <c r="D25" s="97" t="str">
        <f>IFERROR(__xludf.dummyfunction("""COMPUTED_VALUE"""),"E. S. F. D. S")</f>
        <v>E. S. F. D. S</v>
      </c>
      <c r="E25" s="119" t="str">
        <f>IFERROR(__xludf.dummyfunction("""COMPUTED_VALUE"""),"16/05/2022")</f>
        <v>16/05/2022</v>
      </c>
      <c r="F25" s="97" t="str">
        <f>IFERROR(__xludf.dummyfunction("""COMPUTED_VALUE"""),"181******13")</f>
        <v>181******13</v>
      </c>
      <c r="G25" s="97" t="str">
        <f>IFERROR(__xludf.dummyfunction("""COMPUTED_VALUE"""),"INFANTIL 3")</f>
        <v>INFANTIL 3</v>
      </c>
      <c r="H25" s="97" t="str">
        <f>IFERROR(__xludf.dummyfunction("""COMPUTED_VALUE"""),"CEMEI SANTO AMARO")</f>
        <v>CEMEI SANTO AMARO</v>
      </c>
      <c r="I25" s="97"/>
      <c r="J25" s="97"/>
      <c r="K25" s="97"/>
      <c r="L25" s="97"/>
      <c r="M25" s="97"/>
      <c r="N25" s="97"/>
      <c r="O25" s="97"/>
      <c r="P25" s="97"/>
      <c r="Q25" s="97"/>
      <c r="R25" s="97"/>
    </row>
    <row r="26" customHeight="1" spans="1:18">
      <c r="A26" s="116" t="str">
        <f t="shared" si="5"/>
        <v>REGIONAL 1</v>
      </c>
      <c r="B26" s="117" t="str">
        <f>IFERROR(__xludf.dummyfunction("""COMPUTED_VALUE"""),"24/02/2026 18:34:28")</f>
        <v>24/02/2026 18:34:28</v>
      </c>
      <c r="C26" s="118" t="str">
        <f>IFERROR(__xludf.dummyfunction("""COMPUTED_VALUE"""),"3")</f>
        <v>3</v>
      </c>
      <c r="D26" s="97" t="str">
        <f>IFERROR(__xludf.dummyfunction("""COMPUTED_VALUE"""),"T. F. L. D. S")</f>
        <v>T. F. L. D. S</v>
      </c>
      <c r="E26" s="119" t="str">
        <f>IFERROR(__xludf.dummyfunction("""COMPUTED_VALUE"""),"12/04/2022")</f>
        <v>12/04/2022</v>
      </c>
      <c r="F26" s="97" t="str">
        <f>IFERROR(__xludf.dummyfunction("""COMPUTED_VALUE"""),"181******81")</f>
        <v>181******81</v>
      </c>
      <c r="G26" s="97" t="str">
        <f>IFERROR(__xludf.dummyfunction("""COMPUTED_VALUE"""),"INFANTIL 3")</f>
        <v>INFANTIL 3</v>
      </c>
      <c r="H26" s="97" t="str">
        <f>IFERROR(__xludf.dummyfunction("""COMPUTED_VALUE"""),"CEMEI SANTO AMARO")</f>
        <v>CEMEI SANTO AMARO</v>
      </c>
      <c r="I26" s="97"/>
      <c r="J26" s="97"/>
      <c r="K26" s="97"/>
      <c r="L26" s="97"/>
      <c r="M26" s="97"/>
      <c r="N26" s="97"/>
      <c r="O26" s="97"/>
      <c r="P26" s="97"/>
      <c r="Q26" s="97"/>
      <c r="R26" s="97"/>
    </row>
    <row r="27" customHeight="1" spans="1:18">
      <c r="A27" s="116" t="str">
        <f t="shared" si="5"/>
        <v>REGIONAL 1</v>
      </c>
      <c r="B27" s="117" t="str">
        <f>IFERROR(__xludf.dummyfunction("""COMPUTED_VALUE"""),"05/08/2026 11:19:31")</f>
        <v>05/08/2026 11:19:31</v>
      </c>
      <c r="C27" s="118" t="str">
        <f>IFERROR(__xludf.dummyfunction("""COMPUTED_VALUE"""),"4")</f>
        <v>4</v>
      </c>
      <c r="D27" s="97" t="str">
        <f>IFERROR(__xludf.dummyfunction("""COMPUTED_VALUE"""),"I. G. D. S")</f>
        <v>I. G. D. S</v>
      </c>
      <c r="E27" s="119" t="str">
        <f>IFERROR(__xludf.dummyfunction("""COMPUTED_VALUE"""),"23/04/2022")</f>
        <v>23/04/2022</v>
      </c>
      <c r="F27" s="97" t="str">
        <f>IFERROR(__xludf.dummyfunction("""COMPUTED_VALUE"""),"182******13")</f>
        <v>182******13</v>
      </c>
      <c r="G27" s="97" t="str">
        <f>IFERROR(__xludf.dummyfunction("""COMPUTED_VALUE"""),"INFANTIL 3")</f>
        <v>INFANTIL 3</v>
      </c>
      <c r="H27" s="97" t="str">
        <f>IFERROR(__xludf.dummyfunction("""COMPUTED_VALUE"""),"CEMEI SANTO AMARO")</f>
        <v>CEMEI SANTO AMARO</v>
      </c>
      <c r="I27" s="97"/>
      <c r="J27" s="97"/>
      <c r="K27" s="97"/>
      <c r="L27" s="97"/>
      <c r="M27" s="97"/>
      <c r="N27" s="97"/>
      <c r="O27" s="97"/>
      <c r="P27" s="97"/>
      <c r="Q27" s="97"/>
      <c r="R27" s="97"/>
    </row>
    <row r="28" customHeight="1" spans="1:18">
      <c r="A28" s="116" t="str">
        <f t="shared" si="5"/>
        <v>REGIONAL 1</v>
      </c>
      <c r="B28" s="117" t="str">
        <f>IFERROR(__xludf.dummyfunction("""COMPUTED_VALUE"""),"21/09/2026 11:12:08")</f>
        <v>21/09/2026 11:12:08</v>
      </c>
      <c r="C28" s="118" t="str">
        <f>IFERROR(__xludf.dummyfunction("""COMPUTED_VALUE"""),"5")</f>
        <v>5</v>
      </c>
      <c r="D28" s="97" t="str">
        <f>IFERROR(__xludf.dummyfunction("""COMPUTED_VALUE"""),"H. B. B. d. S. S")</f>
        <v>H. B. B. d. S. S</v>
      </c>
      <c r="E28" s="119" t="str">
        <f>IFERROR(__xludf.dummyfunction("""COMPUTED_VALUE"""),"18/10/2022")</f>
        <v>18/10/2022</v>
      </c>
      <c r="F28" s="97" t="str">
        <f>IFERROR(__xludf.dummyfunction("""COMPUTED_VALUE"""),"183******59")</f>
        <v>183******59</v>
      </c>
      <c r="G28" s="97" t="str">
        <f>IFERROR(__xludf.dummyfunction("""COMPUTED_VALUE"""),"INFANTIL 3")</f>
        <v>INFANTIL 3</v>
      </c>
      <c r="H28" s="97" t="str">
        <f>IFERROR(__xludf.dummyfunction("""COMPUTED_VALUE"""),"CEMEI SANTO AMARO")</f>
        <v>CEMEI SANTO AMARO</v>
      </c>
      <c r="I28" s="97"/>
      <c r="J28" s="97"/>
      <c r="K28" s="97"/>
      <c r="L28" s="97"/>
      <c r="M28" s="97"/>
      <c r="N28" s="97"/>
      <c r="O28" s="97"/>
      <c r="P28" s="97"/>
      <c r="Q28" s="97"/>
      <c r="R28" s="97"/>
    </row>
    <row r="29" customHeight="1" spans="1:18">
      <c r="A29" s="116" t="str">
        <f t="shared" si="5"/>
        <v>REGIONAL 1</v>
      </c>
      <c r="B29" s="117" t="str">
        <f>IFERROR(__xludf.dummyfunction("""COMPUTED_VALUE"""),"13/05/2026 19:48:23")</f>
        <v>13/05/2026 19:48:23</v>
      </c>
      <c r="C29" s="118" t="str">
        <f>IFERROR(__xludf.dummyfunction("""COMPUTED_VALUE"""),"1")</f>
        <v>1</v>
      </c>
      <c r="D29" s="97" t="str">
        <f>IFERROR(__xludf.dummyfunction("""COMPUTED_VALUE"""),"H. V. S. R")</f>
        <v>H. V. S. R</v>
      </c>
      <c r="E29" s="119" t="str">
        <f>IFERROR(__xludf.dummyfunction("""COMPUTED_VALUE"""),"09/06/2022")</f>
        <v>09/06/2022</v>
      </c>
      <c r="F29" s="97" t="str">
        <f>IFERROR(__xludf.dummyfunction("""COMPUTED_VALUE"""),"181******04")</f>
        <v>181******04</v>
      </c>
      <c r="G29" s="97" t="str">
        <f>IFERROR(__xludf.dummyfunction("""COMPUTED_VALUE"""),"INFANTIL 3")</f>
        <v>INFANTIL 3</v>
      </c>
      <c r="H29" s="97" t="str">
        <f>IFERROR(__xludf.dummyfunction("""COMPUTED_VALUE"""),"CEMEI SANTO AMARO")</f>
        <v>CEMEI SANTO AMARO</v>
      </c>
      <c r="I29" s="97"/>
      <c r="J29" s="97"/>
      <c r="K29" s="97"/>
      <c r="L29" s="97"/>
      <c r="M29" s="97"/>
      <c r="N29" s="97"/>
      <c r="O29" s="97"/>
      <c r="P29" s="97"/>
      <c r="Q29" s="97"/>
      <c r="R29" s="97"/>
    </row>
    <row r="30" customHeight="1" spans="1:18">
      <c r="A30" s="116" t="str">
        <f t="shared" si="5"/>
        <v>REGIONAL 1</v>
      </c>
      <c r="B30" s="117" t="str">
        <f>IFERROR(__xludf.dummyfunction("""COMPUTED_VALUE"""),"20/05/2026 10:33:36")</f>
        <v>20/05/2026 10:33:36</v>
      </c>
      <c r="C30" s="118" t="str">
        <f>IFERROR(__xludf.dummyfunction("""COMPUTED_VALUE"""),"2")</f>
        <v>2</v>
      </c>
      <c r="D30" s="97" t="str">
        <f>IFERROR(__xludf.dummyfunction("""COMPUTED_VALUE"""),"B. C. D. I. G")</f>
        <v>B. C. D. I. G</v>
      </c>
      <c r="E30" s="119" t="str">
        <f>IFERROR(__xludf.dummyfunction("""COMPUTED_VALUE"""),"02/11/2022")</f>
        <v>02/11/2022</v>
      </c>
      <c r="F30" s="97" t="str">
        <f>IFERROR(__xludf.dummyfunction("""COMPUTED_VALUE"""),"183******74")</f>
        <v>183******74</v>
      </c>
      <c r="G30" s="97" t="str">
        <f>IFERROR(__xludf.dummyfunction("""COMPUTED_VALUE"""),"INFANTIL 3")</f>
        <v>INFANTIL 3</v>
      </c>
      <c r="H30" s="97" t="str">
        <f>IFERROR(__xludf.dummyfunction("""COMPUTED_VALUE"""),"CEMEI SANTO AMARO")</f>
        <v>CEMEI SANTO AMARO</v>
      </c>
      <c r="I30" s="97"/>
      <c r="J30" s="97"/>
      <c r="K30" s="97"/>
      <c r="L30" s="97"/>
      <c r="M30" s="97"/>
      <c r="N30" s="97"/>
      <c r="O30" s="97"/>
      <c r="P30" s="97"/>
      <c r="Q30" s="97"/>
      <c r="R30" s="97"/>
    </row>
    <row r="31" customHeight="1" spans="1:18">
      <c r="A31" s="116" t="str">
        <f t="shared" si="5"/>
        <v>REGIONAL 1</v>
      </c>
      <c r="B31" s="117" t="str">
        <f>IFERROR(__xludf.dummyfunction("""COMPUTED_VALUE"""),"25/05/2026 08:40:05")</f>
        <v>25/05/2026 08:40:05</v>
      </c>
      <c r="C31" s="118" t="str">
        <f>IFERROR(__xludf.dummyfunction("""COMPUTED_VALUE"""),"3")</f>
        <v>3</v>
      </c>
      <c r="D31" s="97" t="str">
        <f>IFERROR(__xludf.dummyfunction("""COMPUTED_VALUE"""),"E. M. d. M. p")</f>
        <v>E. M. d. M. p</v>
      </c>
      <c r="E31" s="119" t="str">
        <f>IFERROR(__xludf.dummyfunction("""COMPUTED_VALUE"""),"25/02/2023")</f>
        <v>25/02/2023</v>
      </c>
      <c r="F31" s="97" t="str">
        <f>IFERROR(__xludf.dummyfunction("""COMPUTED_VALUE"""),"184******28")</f>
        <v>184******28</v>
      </c>
      <c r="G31" s="97" t="str">
        <f>IFERROR(__xludf.dummyfunction("""COMPUTED_VALUE"""),"INFANTIL 3")</f>
        <v>INFANTIL 3</v>
      </c>
      <c r="H31" s="97" t="str">
        <f>IFERROR(__xludf.dummyfunction("""COMPUTED_VALUE"""),"CEMEI SANTO AMARO")</f>
        <v>CEMEI SANTO AMARO</v>
      </c>
      <c r="I31" s="97"/>
      <c r="J31" s="97"/>
      <c r="K31" s="97"/>
      <c r="L31" s="97"/>
      <c r="M31" s="97"/>
      <c r="N31" s="97"/>
      <c r="O31" s="97"/>
      <c r="P31" s="97"/>
      <c r="Q31" s="97"/>
      <c r="R31" s="97"/>
    </row>
    <row r="32" customHeight="1" spans="1:18">
      <c r="A32" s="116" t="str">
        <f t="shared" si="5"/>
        <v>REGIONAL 1</v>
      </c>
      <c r="B32" s="117" t="str">
        <f>IFERROR(__xludf.dummyfunction("""COMPUTED_VALUE"""),"10/06/2026 07:16:18")</f>
        <v>10/06/2026 07:16:18</v>
      </c>
      <c r="C32" s="118" t="str">
        <f>IFERROR(__xludf.dummyfunction("""COMPUTED_VALUE"""),"4")</f>
        <v>4</v>
      </c>
      <c r="D32" s="97" t="str">
        <f>IFERROR(__xludf.dummyfunction("""COMPUTED_VALUE"""),"A. F. B. R")</f>
        <v>A. F. B. R</v>
      </c>
      <c r="E32" s="119" t="str">
        <f>IFERROR(__xludf.dummyfunction("""COMPUTED_VALUE"""),"17/02/2023")</f>
        <v>17/02/2023</v>
      </c>
      <c r="F32" s="97" t="str">
        <f>IFERROR(__xludf.dummyfunction("""COMPUTED_VALUE"""),"184******12")</f>
        <v>184******12</v>
      </c>
      <c r="G32" s="97" t="str">
        <f>IFERROR(__xludf.dummyfunction("""COMPUTED_VALUE"""),"INFANTIL 3")</f>
        <v>INFANTIL 3</v>
      </c>
      <c r="H32" s="97" t="str">
        <f>IFERROR(__xludf.dummyfunction("""COMPUTED_VALUE"""),"CEMEI SANTO AMARO")</f>
        <v>CEMEI SANTO AMARO</v>
      </c>
      <c r="I32" s="97"/>
      <c r="J32" s="97"/>
      <c r="K32" s="97"/>
      <c r="L32" s="97"/>
      <c r="M32" s="97"/>
      <c r="N32" s="97"/>
      <c r="O32" s="97"/>
      <c r="P32" s="97"/>
      <c r="Q32" s="97"/>
      <c r="R32" s="97"/>
    </row>
    <row r="33" customHeight="1" spans="1:18">
      <c r="A33" s="116" t="str">
        <f t="shared" si="5"/>
        <v>REGIONAL 1</v>
      </c>
      <c r="B33" s="117" t="str">
        <f>IFERROR(__xludf.dummyfunction("""COMPUTED_VALUE"""),"14/03/2026 10:04:37")</f>
        <v>14/03/2026 10:04:37</v>
      </c>
      <c r="C33" s="118" t="str">
        <f>IFERROR(__xludf.dummyfunction("""COMPUTED_VALUE"""),"1")</f>
        <v>1</v>
      </c>
      <c r="D33" s="97" t="str">
        <f>IFERROR(__xludf.dummyfunction("""COMPUTED_VALUE"""),"B. C")</f>
        <v>B. C</v>
      </c>
      <c r="E33" s="119" t="str">
        <f>IFERROR(__xludf.dummyfunction("""COMPUTED_VALUE"""),"27/06/2024")</f>
        <v>27/06/2024</v>
      </c>
      <c r="F33" s="97" t="str">
        <f>IFERROR(__xludf.dummyfunction("""COMPUTED_VALUE"""),"003******01")</f>
        <v>003******01</v>
      </c>
      <c r="G33" s="97" t="str">
        <f>IFERROR(__xludf.dummyfunction("""COMPUTED_VALUE"""),"INFANTIL 1")</f>
        <v>INFANTIL 1</v>
      </c>
      <c r="H33" s="97" t="str">
        <f>IFERROR(__xludf.dui26mmyfunction("""COMPUTED_VALUE"""),"CRECHE CIRANDA CIRANDINHA")</f>
        <v>CRECHE CIRANDA CIRANDINHA</v>
      </c>
      <c r="I33" s="97"/>
      <c r="J33" s="97"/>
      <c r="K33" s="97"/>
      <c r="L33" s="97"/>
      <c r="M33" s="97"/>
      <c r="N33" s="97"/>
      <c r="O33" s="97"/>
      <c r="P33" s="97"/>
      <c r="Q33" s="97"/>
      <c r="R33" s="97"/>
    </row>
    <row r="34" customHeight="1" spans="1:18">
      <c r="A34" s="116" t="str">
        <f t="shared" si="5"/>
        <v>REGIONAL 1</v>
      </c>
      <c r="B34" s="117" t="str">
        <f>IFERROR(__xludf.dummyfunction("""COMPUTED_VALUE"""),"29/04/2026 14:37:28")</f>
        <v>29/04/2026 14:37:28</v>
      </c>
      <c r="C34" s="118" t="str">
        <f>IFERROR(__xludf.dummyfunction("""COMPUTED_VALUE"""),"2")</f>
        <v>2</v>
      </c>
      <c r="D34" s="97" t="str">
        <f>IFERROR(__xludf.dummyfunction("""COMPUTED_VALUE"""),"K. R. B. D. B")</f>
        <v>K. R. B. D. B</v>
      </c>
      <c r="E34" s="119" t="str">
        <f>IFERROR(__xludf.dummyfunction("""COMPUTED_VALUE"""),"14/01/2025")</f>
        <v>14/01/2025</v>
      </c>
      <c r="F34" s="97" t="str">
        <f>IFERROR(__xludf.dummyfunction("""COMPUTED_VALUE"""),"006******40")</f>
        <v>006******40</v>
      </c>
      <c r="G34" s="97" t="str">
        <f>IFERROR(__xludf.dummyfunction("""COMPUTED_VALUE"""),"INFANTIL 1")</f>
        <v>INFANTIL 1</v>
      </c>
      <c r="H34" s="97" t="str">
        <f>IFERROR(__xludf.dummyfunction("""COMPUTED_VALUE"""),"CRECHE CIRANDA CIRANDINHA")</f>
        <v>CRECHE CIRANDA CIRANDINHA</v>
      </c>
      <c r="I34" s="97"/>
      <c r="J34" s="97"/>
      <c r="K34" s="97"/>
      <c r="L34" s="97"/>
      <c r="M34" s="97"/>
      <c r="N34" s="97"/>
      <c r="O34" s="97"/>
      <c r="P34" s="97"/>
      <c r="Q34" s="97"/>
      <c r="R34" s="97"/>
    </row>
    <row r="35" customHeight="1" spans="1:18">
      <c r="A35" s="116" t="str">
        <f t="shared" si="5"/>
        <v>REGIONAL 1</v>
      </c>
      <c r="B35" s="117" t="str">
        <f>IFERROR(__xludf.dummyfunction("""COMPUTED_VALUE"""),"28/05/2026 16:17:10")</f>
        <v>28/05/2026 16:17:10</v>
      </c>
      <c r="C35" s="118" t="str">
        <f>IFERROR(__xludf.dummyfunction("""COMPUTED_VALUE"""),"3")</f>
        <v>3</v>
      </c>
      <c r="D35" s="97" t="str">
        <f>IFERROR(__xludf.dummyfunction("""COMPUTED_VALUE"""),"H. C. R. G")</f>
        <v>H. C. R. G</v>
      </c>
      <c r="E35" s="119" t="str">
        <f>IFERROR(__xludf.dummyfunction("""COMPUTED_VALUE"""),"02/12/2024")</f>
        <v>02/12/2024</v>
      </c>
      <c r="F35" s="97" t="str">
        <f>IFERROR(__xludf.dummyfunction("""COMPUTED_VALUE"""),"004******08")</f>
        <v>004******08</v>
      </c>
      <c r="G35" s="97" t="str">
        <f>IFERROR(__xludf.dummyfunction("""COMPUTED_VALUE"""),"INFANTIL 1")</f>
        <v>INFANTIL 1</v>
      </c>
      <c r="H35" s="97" t="str">
        <f>IFERROR(__xludf.dummyfunction("""COMPUTED_VALUE"""),"CRECHE CIRANDA CIRANDINHA")</f>
        <v>CRECHE CIRANDA CIRANDINHA</v>
      </c>
      <c r="I35" s="97"/>
      <c r="J35" s="97"/>
      <c r="K35" s="97"/>
      <c r="L35" s="97"/>
      <c r="M35" s="97"/>
      <c r="N35" s="97"/>
      <c r="O35" s="97"/>
      <c r="P35" s="97"/>
      <c r="Q35" s="97"/>
      <c r="R35" s="97"/>
    </row>
    <row r="36" customHeight="1" spans="1:18">
      <c r="A36" s="116" t="str">
        <f t="shared" si="5"/>
        <v>REGIONAL 1</v>
      </c>
      <c r="B36" s="117" t="str">
        <f>IFERROR(__xludf.dummyfunction("""COMPUTED_VALUE"""),"01/06/2026 12:23:26")</f>
        <v>01/06/2026 12:23:26</v>
      </c>
      <c r="C36" s="118" t="str">
        <f>IFERROR(__xludf.dummyfunction("""COMPUTED_VALUE"""),"4")</f>
        <v>4</v>
      </c>
      <c r="D36" s="97" t="str">
        <f>IFERROR(__xludf.dummyfunction("""COMPUTED_VALUE"""),"A. B. F. R")</f>
        <v>A. B. F. R</v>
      </c>
      <c r="E36" s="119" t="str">
        <f>IFERROR(__xludf.dummyfunction("""COMPUTED_VALUE"""),"27/06/2025")</f>
        <v>27/06/2025</v>
      </c>
      <c r="F36" s="97" t="str">
        <f>IFERROR(__xludf.dummyfunction("""COMPUTED_VALUE"""),"006******01")</f>
        <v>006******01</v>
      </c>
      <c r="G36" s="97" t="str">
        <f>IFERROR(__xludf.dummyfunction("""COMPUTED_VALUE"""),"INFANTIL 1")</f>
        <v>INFANTIL 1</v>
      </c>
      <c r="H36" s="97" t="str">
        <f>IFERROR(__xludf.dummyfunction("""COMPUTED_VALUE"""),"CRECHE CIRANDA CIRANDINHA")</f>
        <v>CRECHE CIRANDA CIRANDINHA</v>
      </c>
      <c r="I36" s="97"/>
      <c r="J36" s="97"/>
      <c r="K36" s="97"/>
      <c r="L36" s="97"/>
      <c r="M36" s="97"/>
      <c r="N36" s="97"/>
      <c r="O36" s="97"/>
      <c r="P36" s="97"/>
      <c r="Q36" s="97"/>
      <c r="R36" s="97"/>
    </row>
    <row r="37" customHeight="1" spans="1:18">
      <c r="A37" s="116" t="str">
        <f t="shared" si="5"/>
        <v>REGIONAL 1</v>
      </c>
      <c r="B37" s="117" t="str">
        <f>IFERROR(__xludf.dummyfunction("""COMPUTED_VALUE"""),"19/06/2026 10:54:15")</f>
        <v>19/06/2026 10:54:15</v>
      </c>
      <c r="C37" s="118" t="str">
        <f>IFERROR(__xludf.dummyfunction("""COMPUTED_VALUE"""),"5")</f>
        <v>5</v>
      </c>
      <c r="D37" s="97" t="str">
        <f>IFERROR(__xludf.dummyfunction("""COMPUTED_VALUE"""),"M. L. c. f")</f>
        <v>M. L. c. f</v>
      </c>
      <c r="E37" s="119" t="str">
        <f>IFERROR(__xludf.dummyfunction("""COMPUTED_VALUE"""),"28/07/2025")</f>
        <v>28/07/2025</v>
      </c>
      <c r="F37" s="97" t="str">
        <f>IFERROR(__xludf.dummyfunction("""COMPUTED_VALUE"""),"007******42")</f>
        <v>007******42</v>
      </c>
      <c r="G37" s="97" t="str">
        <f>IFERROR(__xludf.dummyfunction("""COMPUTED_VALUE"""),"INFANTIL 1")</f>
        <v>INFANTIL 1</v>
      </c>
      <c r="H37" s="97" t="str">
        <f>IFERROR(__xludf.dummyfunction("""COMPUTED_VALUE"""),"CRECHE CIRANDA CIRANDINHA")</f>
        <v>CRECHE CIRANDA CIRANDINHA</v>
      </c>
      <c r="I37" s="97"/>
      <c r="J37" s="97"/>
      <c r="K37" s="97"/>
      <c r="L37" s="97"/>
      <c r="M37" s="97"/>
      <c r="N37" s="97"/>
      <c r="O37" s="97"/>
      <c r="P37" s="97"/>
      <c r="Q37" s="97"/>
      <c r="R37" s="97"/>
    </row>
    <row r="38" customHeight="1" spans="1:18">
      <c r="A38" s="116" t="str">
        <f t="shared" si="5"/>
        <v>REGIONAL 1</v>
      </c>
      <c r="B38" s="117" t="str">
        <f>IFERROR(__xludf.dummyfunction("""COMPUTED_VALUE"""),"15/07/2026 09:24:08")</f>
        <v>15/07/2026 09:24:08</v>
      </c>
      <c r="C38" s="118" t="str">
        <f>IFERROR(__xludf.dummyfunction("""COMPUTED_VALUE"""),"6")</f>
        <v>6</v>
      </c>
      <c r="D38" s="97" t="str">
        <f>IFERROR(__xludf.dummyfunction("""COMPUTED_VALUE"""),"A. M. d. S. M")</f>
        <v>A. M. d. S. M</v>
      </c>
      <c r="E38" s="119" t="str">
        <f>IFERROR(__xludf.dummyfunction("""COMPUTED_VALUE"""),"23/09/2025")</f>
        <v>23/09/2025</v>
      </c>
      <c r="F38" s="97" t="str">
        <f>IFERROR(__xludf.dummyfunction("""COMPUTED_VALUE"""),"015******72")</f>
        <v>015******72</v>
      </c>
      <c r="G38" s="97" t="str">
        <f>IFERROR(__xludf.dummyfunction("""COMPUTED_VALUE"""),"INFANTIL 1")</f>
        <v>INFANTIL 1</v>
      </c>
      <c r="H38" s="97" t="str">
        <f>IFERROR(__xludf.dummyfunction("""COMPUTED_VALUE"""),"CRECHE CIRANDA CIRANDINHA")</f>
        <v>CRECHE CIRANDA CIRANDINHA</v>
      </c>
      <c r="I38" s="97"/>
      <c r="J38" s="97"/>
      <c r="K38" s="97"/>
      <c r="L38" s="97"/>
      <c r="M38" s="97"/>
      <c r="N38" s="97"/>
      <c r="O38" s="97"/>
      <c r="P38" s="97"/>
      <c r="Q38" s="97"/>
      <c r="R38" s="97"/>
    </row>
    <row r="39" customHeight="1" spans="1:18">
      <c r="A39" s="116" t="str">
        <f t="shared" si="5"/>
        <v>REGIONAL 1</v>
      </c>
      <c r="B39" s="117" t="str">
        <f>IFERROR(__xludf.dummyfunction("""COMPUTED_VALUE"""),"13/09/2026 22:23:43")</f>
        <v>13/09/2026 22:23:43</v>
      </c>
      <c r="C39" s="118" t="str">
        <f>IFERROR(__xludf.dummyfunction("""COMPUTED_VALUE"""),"7")</f>
        <v>7</v>
      </c>
      <c r="D39" s="97" t="str">
        <f>IFERROR(__xludf.dummyfunction("""COMPUTED_VALUE"""),"Y. G. g. S")</f>
        <v>Y. G. g. S</v>
      </c>
      <c r="E39" s="119" t="str">
        <f>IFERROR(__xludf.dummyfunction("""COMPUTED_VALUE"""),"11/02/2026")</f>
        <v>11/02/2026</v>
      </c>
      <c r="F39" s="97" t="str">
        <f>IFERROR(__xludf.dummyfunction("""COMPUTED_VALUE"""),"048******72")</f>
        <v>048******72</v>
      </c>
      <c r="G39" s="97" t="str">
        <f>IFERROR(__xludf.dummyfunction("""COMPUTED_VALUE"""),"INFANTIL 1")</f>
        <v>INFANTIL 1</v>
      </c>
      <c r="H39" s="97" t="str">
        <f>IFERROR(__xludf.dummyfunction("""COMPUTED_VALUE"""),"CRECHE CIRANDA CIRANDINHA")</f>
        <v>CRECHE CIRANDA CIRANDINHA</v>
      </c>
      <c r="I39" s="97"/>
      <c r="J39" s="97"/>
      <c r="K39" s="97"/>
      <c r="L39" s="97"/>
      <c r="M39" s="97"/>
      <c r="N39" s="97"/>
      <c r="O39" s="97"/>
      <c r="P39" s="97"/>
      <c r="Q39" s="97"/>
      <c r="R39" s="97"/>
    </row>
    <row r="40" customHeight="1" spans="1:18">
      <c r="A40" s="116" t="str">
        <f t="shared" si="5"/>
        <v>REGIONAL 1</v>
      </c>
      <c r="B40" s="117" t="str">
        <f>IFERROR(__xludf.dummyfunction("""COMPUTED_VALUE"""),"22/09/2026 15:25:56")</f>
        <v>22/09/2026 15:25:56</v>
      </c>
      <c r="C40" s="118" t="str">
        <f>IFERROR(__xludf.dummyfunction("""COMPUTED_VALUE"""),"8")</f>
        <v>8</v>
      </c>
      <c r="D40" s="97" t="str">
        <f>IFERROR(__xludf.dummyfunction("""COMPUTED_VALUE"""),"J. J. D. S. P. N")</f>
        <v>J. J. D. S. P. N</v>
      </c>
      <c r="E40" s="119" t="str">
        <f>IFERROR(__xludf.dummyfunction("""COMPUTED_VALUE"""),"01/12/2024")</f>
        <v>01/12/2024</v>
      </c>
      <c r="F40" s="97" t="str">
        <f>IFERROR(__xludf.dummyfunction("""COMPUTED_VALUE"""),"005******59")</f>
        <v>005******59</v>
      </c>
      <c r="G40" s="97" t="str">
        <f>IFERROR(__xludf.dummyfunction("""COMPUTED_VALUE"""),"INFANTIL 1")</f>
        <v>INFANTIL 1</v>
      </c>
      <c r="H40" s="97" t="str">
        <f>IFERROR(__xludf.dummyfunction("""COMPUTED_VALUE"""),"CRECHE CIRANDA CIRANDINHA")</f>
        <v>CRECHE CIRANDA CIRANDINHA</v>
      </c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customHeight="1" spans="1:18">
      <c r="A41" s="116" t="str">
        <f t="shared" si="5"/>
        <v>REGIONAL 1</v>
      </c>
      <c r="B41" s="117" t="str">
        <f>IFERROR(__xludf.dummyfunction("""COMPUTED_VALUE"""),"02/02/2026 14:50:25")</f>
        <v>02/02/2026 14:50:25</v>
      </c>
      <c r="C41" s="118" t="str">
        <f>IFERROR(__xludf.dummyfunction("""COMPUTED_VALUE"""),"1")</f>
        <v>1</v>
      </c>
      <c r="D41" s="97" t="str">
        <f>IFERROR(__xludf.dummyfunction("""COMPUTED_VALUE"""),"A. T. A. M. D. M")</f>
        <v>A. T. A. M. D. M</v>
      </c>
      <c r="E41" s="119" t="str">
        <f>IFERROR(__xludf.dummyfunction("""COMPUTED_VALUE"""),"04/10/2023")</f>
        <v>04/10/2023</v>
      </c>
      <c r="F41" s="97" t="str">
        <f>IFERROR(__xludf.dummyfunction("""COMPUTED_VALUE"""),"000******96")</f>
        <v>000******96</v>
      </c>
      <c r="G41" s="97" t="str">
        <f>IFERROR(__xludf.dummyfunction("""COMPUTED_VALUE"""),"INFANTIL 2")</f>
        <v>INFANTIL 2</v>
      </c>
      <c r="H41" s="97" t="str">
        <f>IFERROR(__xludf.dummyfunction("""COMPUTED_VALUE"""),"CRECHE CIRANDA CIRANDINHA")</f>
        <v>CRECHE CIRANDA CIRANDINHA</v>
      </c>
      <c r="I41" s="97"/>
      <c r="J41" s="97"/>
      <c r="K41" s="97"/>
      <c r="L41" s="97"/>
      <c r="M41" s="97"/>
      <c r="N41" s="97"/>
      <c r="O41" s="97"/>
      <c r="P41" s="97"/>
      <c r="Q41" s="97"/>
      <c r="R41" s="97"/>
    </row>
    <row r="42" customHeight="1" spans="1:18">
      <c r="A42" s="116" t="str">
        <f t="shared" si="5"/>
        <v>REGIONAL 1</v>
      </c>
      <c r="B42" s="97" t="str">
        <f>IFERROR(__xludf.dummyfunction("""COMPUTED_VALUE"""),"09/02/2026 08:21:00")</f>
        <v>09/02/2026 08:21:00</v>
      </c>
      <c r="C42" s="118" t="str">
        <f>IFERROR(__xludf.dummyfunction("""COMPUTED_VALUE"""),"2")</f>
        <v>2</v>
      </c>
      <c r="D42" s="97" t="str">
        <f>IFERROR(__xludf.dummyfunction("""COMPUTED_VALUE"""),"E. V. G. V")</f>
        <v>E. V. G. V</v>
      </c>
      <c r="E42" s="97" t="str">
        <f>IFERROR(__xludf.dummyfunction("""COMPUTED_VALUE"""),"15/07/2023")</f>
        <v>15/07/2023</v>
      </c>
      <c r="F42" s="97" t="str">
        <f>IFERROR(__xludf.dummyfunction("""COMPUTED_VALUE"""),"186******70")</f>
        <v>186******70</v>
      </c>
      <c r="G42" s="97" t="str">
        <f>IFERROR(__xludf.dummyfunction("""COMPUTED_VALUE"""),"INFANTIL 2")</f>
        <v>INFANTIL 2</v>
      </c>
      <c r="H42" s="97" t="str">
        <f>IFERROR(__xludf.dummyfunction("""COMPUTED_VALUE"""),"CRECHE CIRANDA CIRANDINHA")</f>
        <v>CRECHE CIRANDA CIRANDINHA</v>
      </c>
      <c r="I42" s="97"/>
      <c r="J42" s="97"/>
      <c r="K42" s="97"/>
      <c r="L42" s="97"/>
      <c r="M42" s="97"/>
      <c r="N42" s="97"/>
      <c r="O42" s="97"/>
      <c r="P42" s="97"/>
      <c r="Q42" s="97"/>
      <c r="R42" s="97"/>
    </row>
    <row r="43" customHeight="1" spans="1:18">
      <c r="A43" s="116" t="str">
        <f t="shared" si="5"/>
        <v>REGIONAL 1</v>
      </c>
      <c r="B43" s="97" t="str">
        <f>IFERROR(__xludf.dummyfunction("""COMPUTED_VALUE"""),"22/09/2026 14:54:21")</f>
        <v>22/09/2026 14:54:21</v>
      </c>
      <c r="C43" s="118" t="str">
        <f>IFERROR(__xludf.dummyfunction("""COMPUTED_VALUE"""),"3")</f>
        <v>3</v>
      </c>
      <c r="D43" s="97" t="str">
        <f>IFERROR(__xludf.dummyfunction("""COMPUTED_VALUE"""),"A. H. D. S. N")</f>
        <v>A. H. D. S. N</v>
      </c>
      <c r="E43" s="97" t="str">
        <f>IFERROR(__xludf.dummyfunction("""COMPUTED_VALUE"""),"30/07/2023")</f>
        <v>30/07/2023</v>
      </c>
      <c r="F43" s="97" t="str">
        <f>IFERROR(__xludf.dummyfunction("""COMPUTED_VALUE"""),"000******08")</f>
        <v>000******08</v>
      </c>
      <c r="G43" s="97" t="str">
        <f>IFERROR(__xludf.dummyfunction("""COMPUTED_VALUE"""),"INFANTIL 2")</f>
        <v>INFANTIL 2</v>
      </c>
      <c r="H43" s="97" t="str">
        <f>IFERROR(__xludf.dummyfunction("""COMPUTED_VALUE"""),"CRECHE CIRANDA CIRANDINHA")</f>
        <v>CRECHE CIRANDA CIRANDINHA</v>
      </c>
      <c r="I43" s="97"/>
      <c r="J43" s="97"/>
      <c r="K43" s="97"/>
      <c r="L43" s="97"/>
      <c r="M43" s="97"/>
      <c r="N43" s="97"/>
      <c r="O43" s="97"/>
      <c r="P43" s="97"/>
      <c r="Q43" s="97"/>
      <c r="R43" s="97"/>
    </row>
    <row r="44" customHeight="1" spans="1:18">
      <c r="A44" s="116" t="str">
        <f t="shared" si="5"/>
        <v>REGIONAL 1</v>
      </c>
      <c r="B44" s="97" t="str">
        <f>IFERROR(__xludf.dummyfunction("""COMPUTED_VALUE"""),"26/02/2026 23:38:28")</f>
        <v>26/02/2026 23:38:28</v>
      </c>
      <c r="C44" s="118" t="str">
        <f>IFERROR(__xludf.dummyfunction("""COMPUTED_VALUE"""),"1")</f>
        <v>1</v>
      </c>
      <c r="D44" s="97" t="str">
        <f>IFERROR(__xludf.dummyfunction("""COMPUTED_VALUE"""),"C. E. D. S. R")</f>
        <v>C. E. D. S. R</v>
      </c>
      <c r="E44" s="97" t="str">
        <f>IFERROR(__xludf.dummyfunction("""COMPUTED_VALUE"""),"04/06/2022")</f>
        <v>04/06/2022</v>
      </c>
      <c r="F44" s="97" t="str">
        <f>IFERROR(__xludf.dummyfunction("""COMPUTED_VALUE"""),"181******48")</f>
        <v>181******48</v>
      </c>
      <c r="G44" s="97" t="str">
        <f>IFERROR(__xludf.dummyfunction("""COMPUTED_VALUE"""),"INFANTIL 3")</f>
        <v>INFANTIL 3</v>
      </c>
      <c r="H44" s="97" t="str">
        <f>IFERROR(__xludf.dummyfunction("""COMPUTED_VALUE"""),"CRECHE CIRANDA CIRANDINHA")</f>
        <v>CRECHE CIRANDA CIRANDINHA</v>
      </c>
      <c r="I44" s="97"/>
      <c r="J44" s="97"/>
      <c r="K44" s="97"/>
      <c r="L44" s="97"/>
      <c r="M44" s="97"/>
      <c r="N44" s="97"/>
      <c r="O44" s="97"/>
      <c r="P44" s="97"/>
      <c r="Q44" s="97"/>
      <c r="R44" s="97"/>
    </row>
    <row r="45" customHeight="1" spans="1:18">
      <c r="A45" s="116" t="str">
        <f t="shared" si="5"/>
        <v>REGIONAL 1</v>
      </c>
      <c r="B45" s="97" t="str">
        <f>IFERROR(__xludf.dummyfunction("""COMPUTED_VALUE"""),"24/03/2026 10:37:29")</f>
        <v>24/03/2026 10:37:29</v>
      </c>
      <c r="C45" s="118" t="str">
        <f>IFERROR(__xludf.dummyfunction("""COMPUTED_VALUE"""),"2")</f>
        <v>2</v>
      </c>
      <c r="D45" s="97" t="str">
        <f>IFERROR(__xludf.dummyfunction("""COMPUTED_VALUE"""),"R. M. S. C. F")</f>
        <v>R. M. S. C. F</v>
      </c>
      <c r="E45" s="97" t="str">
        <f>IFERROR(__xludf.dummyfunction("""COMPUTED_VALUE"""),"20/08/2022")</f>
        <v>20/08/2022</v>
      </c>
      <c r="F45" s="97" t="str">
        <f>IFERROR(__xludf.dummyfunction("""COMPUTED_VALUE"""),"182******17")</f>
        <v>182******17</v>
      </c>
      <c r="G45" s="97" t="str">
        <f>IFERROR(__xludf.dummyfunction("""COMPUTED_VALUE"""),"INFANTIL 3")</f>
        <v>INFANTIL 3</v>
      </c>
      <c r="H45" s="97" t="str">
        <f>IFERROR(__xludf.dummyfunction("""COMPUTED_VALUE"""),"CRECHE CIRANDA CIRANDINHA")</f>
        <v>CRECHE CIRANDA CIRANDINHA</v>
      </c>
      <c r="I45" s="97"/>
      <c r="J45" s="97"/>
      <c r="K45" s="97"/>
      <c r="L45" s="97"/>
      <c r="M45" s="97"/>
      <c r="N45" s="97"/>
      <c r="O45" s="97"/>
      <c r="P45" s="97"/>
      <c r="Q45" s="97"/>
      <c r="R45" s="97"/>
    </row>
    <row r="46" customHeight="1" spans="1:18">
      <c r="A46" s="116" t="str">
        <f t="shared" si="5"/>
        <v>REGIONAL 1</v>
      </c>
      <c r="B46" s="97" t="str">
        <f>IFERROR(__xludf.dummyfunction("""COMPUTED_VALUE"""),"23/04/2026 12:52:15")</f>
        <v>23/04/2026 12:52:15</v>
      </c>
      <c r="C46" s="118" t="str">
        <f>IFERROR(__xludf.dummyfunction("""COMPUTED_VALUE"""),"3")</f>
        <v>3</v>
      </c>
      <c r="D46" s="97" t="str">
        <f>IFERROR(__xludf.dummyfunction("""COMPUTED_VALUE"""),"Y. M. D. S. G")</f>
        <v>Y. M. D. S. G</v>
      </c>
      <c r="E46" s="97" t="str">
        <f>IFERROR(__xludf.dummyfunction("""COMPUTED_VALUE"""),"20/05/2022")</f>
        <v>20/05/2022</v>
      </c>
      <c r="F46" s="97" t="str">
        <f>IFERROR(__xludf.dummyfunction("""COMPUTED_VALUE"""),"181******04")</f>
        <v>181******04</v>
      </c>
      <c r="G46" s="97" t="str">
        <f>IFERROR(__xludf.dummyfunction("""COMPUTED_VALUE"""),"INFANTIL 3")</f>
        <v>INFANTIL 3</v>
      </c>
      <c r="H46" s="97" t="str">
        <f>IFERROR(__xludf.dummyfunction("""COMPUTED_VALUE"""),"CRECHE CIRANDA CIRANDINHA")</f>
        <v>CRECHE CIRANDA CIRANDINHA</v>
      </c>
      <c r="I46" s="97"/>
      <c r="J46" s="97"/>
      <c r="K46" s="97"/>
      <c r="L46" s="97"/>
      <c r="M46" s="97"/>
      <c r="N46" s="97"/>
      <c r="O46" s="97"/>
      <c r="P46" s="97"/>
      <c r="Q46" s="97"/>
      <c r="R46" s="97"/>
    </row>
    <row r="47" customHeight="1" spans="1:18">
      <c r="A47" s="116" t="str">
        <f t="shared" si="5"/>
        <v>REGIONAL 1</v>
      </c>
      <c r="B47" s="97" t="str">
        <f>IFERROR(__xludf.dummyfunction("""COMPUTED_VALUE"""),"23/02/2026 09:25:20")</f>
        <v>23/02/2026 09:25:20</v>
      </c>
      <c r="C47" s="118" t="str">
        <f>IFERROR(__xludf.dummyfunction("""COMPUTED_VALUE"""),"1")</f>
        <v>1</v>
      </c>
      <c r="D47" s="97" t="str">
        <f>IFERROR(__xludf.dummyfunction("""COMPUTED_VALUE"""),"L. E. C. D. O")</f>
        <v>L. E. C. D. O</v>
      </c>
      <c r="E47" s="97" t="str">
        <f>IFERROR(__xludf.dummyfunction("""COMPUTED_VALUE"""),"08/07/2024")</f>
        <v>08/07/2024</v>
      </c>
      <c r="F47" s="97" t="str">
        <f>IFERROR(__xludf.dummyfunction("""COMPUTED_VALUE"""),"003******55")</f>
        <v>003******55</v>
      </c>
      <c r="G47" s="97" t="str">
        <f>IFERROR(__xludf.dummyfunction("""COMPUTED_VALUE"""),"INFANTIL 1")</f>
        <v>INFANTIL 1</v>
      </c>
      <c r="H47" s="97" t="str">
        <f>IFERROR(__xludf.dummyfunction("""COMPUTED_VALUE"""),"CRECHE MUNICIPAL PROFESSORA MARIA RITA LINS MARTINS")</f>
        <v>CRECHE MUNICIPAL PROFESSORA MARIA RITA LINS MARTINS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</row>
    <row r="48" customHeight="1" spans="1:18">
      <c r="A48" s="116" t="str">
        <f t="shared" si="5"/>
        <v>REGIONAL 1</v>
      </c>
      <c r="B48" s="97" t="str">
        <f>IFERROR(__xludf.dummyfunction("""COMPUTED_VALUE"""),"23/02/2026 22:06:49")</f>
        <v>23/02/2026 22:06:49</v>
      </c>
      <c r="C48" s="118" t="str">
        <f>IFERROR(__xludf.dummyfunction("""COMPUTED_VALUE"""),"2")</f>
        <v>2</v>
      </c>
      <c r="D48" s="97" t="str">
        <f>IFERROR(__xludf.dummyfunction("""COMPUTED_VALUE"""),"B. S. S. D. S")</f>
        <v>B. S. S. D. S</v>
      </c>
      <c r="E48" s="97" t="str">
        <f>IFERROR(__xludf.dummyfunction("""COMPUTED_VALUE"""),"13/09/2024")</f>
        <v>13/09/2024</v>
      </c>
      <c r="F48" s="97" t="str">
        <f>IFERROR(__xludf.dummyfunction("""COMPUTED_VALUE"""),"004******73")</f>
        <v>004******73</v>
      </c>
      <c r="G48" s="97" t="str">
        <f>IFERROR(__xludf.dummyfunction("""COMPUTED_VALUE"""),"INFANTIL 1")</f>
        <v>INFANTIL 1</v>
      </c>
      <c r="H48" s="97" t="str">
        <f>IFERROR(__xludf.dummyfunction("""COMPUTED_VALUE"""),"CRECHE MUNICIPAL PROFESSORA MARIA RITA LINS MARTINS")</f>
        <v>CRECHE MUNICIPAL PROFESSORA MARIA RITA LINS MARTINS</v>
      </c>
      <c r="I48" s="97"/>
      <c r="J48" s="97"/>
      <c r="K48" s="97"/>
      <c r="L48" s="97"/>
      <c r="M48" s="97"/>
      <c r="N48" s="97"/>
      <c r="O48" s="97"/>
      <c r="P48" s="97"/>
      <c r="Q48" s="97"/>
      <c r="R48" s="97"/>
    </row>
    <row r="49" customHeight="1" spans="1:18">
      <c r="A49" s="116" t="str">
        <f t="shared" si="5"/>
        <v>REGIONAL 1</v>
      </c>
      <c r="B49" s="97" t="str">
        <f>IFERROR(__xludf.dummyfunction("""COMPUTED_VALUE"""),"24/02/2026 10:47:32")</f>
        <v>24/02/2026 10:47:32</v>
      </c>
      <c r="C49" s="118" t="str">
        <f>IFERROR(__xludf.dummyfunction("""COMPUTED_VALUE"""),"3")</f>
        <v>3</v>
      </c>
      <c r="D49" s="97" t="str">
        <f>IFERROR(__xludf.dummyfunction("""COMPUTED_VALUE"""),"M. H. D. S. M")</f>
        <v>M. H. D. S. M</v>
      </c>
      <c r="E49" s="97" t="str">
        <f>IFERROR(__xludf.dummyfunction("""COMPUTED_VALUE"""),"17/08/2024")</f>
        <v>17/08/2024</v>
      </c>
      <c r="F49" s="97" t="str">
        <f>IFERROR(__xludf.dummyfunction("""COMPUTED_VALUE"""),"003******21")</f>
        <v>003******21</v>
      </c>
      <c r="G49" s="97" t="str">
        <f>IFERROR(__xludf.dummyfunction("""COMPUTED_VALUE"""),"INFANTIL 1")</f>
        <v>INFANTIL 1</v>
      </c>
      <c r="H49" s="97" t="str">
        <f>IFERROR(__xludf.dummyfunction("""COMPUTED_VALUE"""),"CRECHE MUNICIPAL PROFESSORA MARIA RITA LINS MARTINS")</f>
        <v>CRECHE MUNICIPAL PROFESSORA MARIA RITA LINS MARTINS</v>
      </c>
      <c r="I49" s="97"/>
      <c r="J49" s="97"/>
      <c r="K49" s="97"/>
      <c r="L49" s="97"/>
      <c r="M49" s="97"/>
      <c r="N49" s="97"/>
      <c r="O49" s="97"/>
      <c r="P49" s="97"/>
      <c r="Q49" s="97"/>
      <c r="R49" s="97"/>
    </row>
    <row r="50" customHeight="1" spans="1:18">
      <c r="A50" s="116" t="str">
        <f t="shared" si="5"/>
        <v>REGIONAL 1</v>
      </c>
      <c r="B50" s="97" t="str">
        <f>IFERROR(__xludf.dummyfunction("""COMPUTED_VALUE"""),"10/05/2026 13:51:20")</f>
        <v>10/05/2026 13:51:20</v>
      </c>
      <c r="C50" s="118" t="str">
        <f>IFERROR(__xludf.dummyfunction("""COMPUTED_VALUE"""),"4")</f>
        <v>4</v>
      </c>
      <c r="D50" s="97" t="str">
        <f>IFERROR(__xludf.dummyfunction("""COMPUTED_VALUE"""),"L. M. D. S")</f>
        <v>L. M. D. S</v>
      </c>
      <c r="E50" s="97" t="str">
        <f>IFERROR(__xludf.dummyfunction("""COMPUTED_VALUE"""),"21/03/2025")</f>
        <v>21/03/2025</v>
      </c>
      <c r="F50" s="97" t="str">
        <f>IFERROR(__xludf.dummyfunction("""COMPUTED_VALUE"""),"007******01")</f>
        <v>007******01</v>
      </c>
      <c r="G50" s="97" t="str">
        <f>IFERROR(__xludf.dummyfunction("""COMPUTED_VALUE"""),"INFANTIL 1")</f>
        <v>INFANTIL 1</v>
      </c>
      <c r="H50" s="97" t="str">
        <f>IFERROR(__xludf.dummyfunction("""COMPUTED_VALUE"""),"CRECHE MUNICIPAL PROFESSORA MARIA RITA LINS MARTINS")</f>
        <v>CRECHE MUNICIPAL PROFESSORA MARIA RITA LINS MARTINS</v>
      </c>
      <c r="I50" s="97"/>
      <c r="J50" s="97"/>
      <c r="K50" s="97"/>
      <c r="L50" s="97"/>
      <c r="M50" s="97"/>
      <c r="N50" s="97"/>
      <c r="O50" s="97"/>
      <c r="P50" s="97"/>
      <c r="Q50" s="97"/>
      <c r="R50" s="97"/>
    </row>
    <row r="51" customHeight="1" spans="1:18">
      <c r="A51" s="116" t="str">
        <f t="shared" si="5"/>
        <v>REGIONAL 1</v>
      </c>
      <c r="B51" s="97" t="str">
        <f>IFERROR(__xludf.dummyfunction("""COMPUTED_VALUE"""),"14/06/2026 18:20:08")</f>
        <v>14/06/2026 18:20:08</v>
      </c>
      <c r="C51" s="118" t="str">
        <f>IFERROR(__xludf.dummyfunction("""COMPUTED_VALUE"""),"5")</f>
        <v>5</v>
      </c>
      <c r="D51" s="97" t="str">
        <f>IFERROR(__xludf.dummyfunction("""COMPUTED_VALUE"""),"A. G. d. S")</f>
        <v>A. G. d. S</v>
      </c>
      <c r="E51" s="97" t="str">
        <f>IFERROR(__xludf.dummyfunction("""COMPUTED_VALUE"""),"31/05/2024")</f>
        <v>31/05/2024</v>
      </c>
      <c r="F51" s="97" t="str">
        <f>IFERROR(__xludf.dummyfunction("""COMPUTED_VALUE"""),"003******86")</f>
        <v>003******86</v>
      </c>
      <c r="G51" s="97" t="str">
        <f>IFERROR(__xludf.dummyfunction("""COMPUTED_VALUE"""),"INFANTIL 1")</f>
        <v>INFANTIL 1</v>
      </c>
      <c r="H51" s="97" t="str">
        <f>IFERROR(__xludf.dummyfunction("""COMPUTED_VALUE"""),"CRECHE MUNICIPAL PROFESSORA MARIA RITA LINS MARTINS")</f>
        <v>CRECHE MUNICIPAL PROFESSORA MARIA RITA LINS MARTINS</v>
      </c>
      <c r="I51" s="97"/>
      <c r="J51" s="97"/>
      <c r="K51" s="97"/>
      <c r="L51" s="97"/>
      <c r="M51" s="97"/>
      <c r="N51" s="97"/>
      <c r="O51" s="97"/>
      <c r="P51" s="97"/>
      <c r="Q51" s="97"/>
      <c r="R51" s="97"/>
    </row>
    <row r="52" customHeight="1" spans="1:18">
      <c r="A52" s="116" t="str">
        <f t="shared" si="5"/>
        <v>REGIONAL 1</v>
      </c>
      <c r="B52" s="97" t="str">
        <f>IFERROR(__xludf.dummyfunction("""COMPUTED_VALUE"""),"25/06/2026 18:16:16")</f>
        <v>25/06/2026 18:16:16</v>
      </c>
      <c r="C52" s="118" t="str">
        <f>IFERROR(__xludf.dummyfunction("""COMPUTED_VALUE"""),"6")</f>
        <v>6</v>
      </c>
      <c r="D52" s="97" t="str">
        <f>IFERROR(__xludf.dummyfunction("""COMPUTED_VALUE"""),"J. M. R. s")</f>
        <v>J. M. R. s</v>
      </c>
      <c r="E52" s="97" t="str">
        <f>IFERROR(__xludf.dummyfunction("""COMPUTED_VALUE"""),"14/12/2024")</f>
        <v>14/12/2024</v>
      </c>
      <c r="F52" s="97" t="str">
        <f>IFERROR(__xludf.dummyfunction("""COMPUTED_VALUE"""),"004******73")</f>
        <v>004******73</v>
      </c>
      <c r="G52" s="97" t="str">
        <f>IFERROR(__xludf.dummyfunction("""COMPUTED_VALUE"""),"INFANTIL 1")</f>
        <v>INFANTIL 1</v>
      </c>
      <c r="H52" s="97" t="str">
        <f>IFERROR(__xludf.dummyfunction("""COMPUTED_VALUE"""),"CRECHE MUNICIPAL PROFESSORA MARIA RITA LINS MARTINS")</f>
        <v>CRECHE MUNICIPAL PROFESSORA MARIA RITA LINS MARTINS</v>
      </c>
      <c r="I52" s="97"/>
      <c r="J52" s="97"/>
      <c r="K52" s="97"/>
      <c r="L52" s="97"/>
      <c r="M52" s="97"/>
      <c r="N52" s="97"/>
      <c r="O52" s="97"/>
      <c r="P52" s="97"/>
      <c r="Q52" s="97"/>
      <c r="R52" s="97"/>
    </row>
    <row r="53" customHeight="1" spans="1:18">
      <c r="A53" s="116" t="str">
        <f t="shared" si="5"/>
        <v>REGIONAL 1</v>
      </c>
      <c r="B53" s="97" t="str">
        <f>IFERROR(__xludf.dummyfunction("""COMPUTED_VALUE"""),"29/06/2026 11:34:07")</f>
        <v>29/06/2026 11:34:07</v>
      </c>
      <c r="C53" s="118" t="str">
        <f>IFERROR(__xludf.dummyfunction("""COMPUTED_VALUE"""),"7")</f>
        <v>7</v>
      </c>
      <c r="D53" s="97" t="str">
        <f>IFERROR(__xludf.dummyfunction("""COMPUTED_VALUE"""),"H. S. C. s")</f>
        <v>H. S. C. s</v>
      </c>
      <c r="E53" s="97" t="str">
        <f>IFERROR(__xludf.dummyfunction("""COMPUTED_VALUE"""),"24/09/2025")</f>
        <v>24/09/2025</v>
      </c>
      <c r="F53" s="97" t="str">
        <f>IFERROR(__xludf.dummyfunction("""COMPUTED_VALUE"""),"011******15")</f>
        <v>011******15</v>
      </c>
      <c r="G53" s="97" t="str">
        <f>IFERROR(__xludf.dummyfunction("""COMPUTED_VALUE"""),"INFANTIL 1")</f>
        <v>INFANTIL 1</v>
      </c>
      <c r="H53" s="97" t="str">
        <f>IFERROR(__xludf.dummyfunction("""COMPUTED_VALUE"""),"CRECHE MUNICIPAL PROFESSORA MARIA RITA LINS MARTINS")</f>
        <v>CRECHE MUNICIPAL PROFESSORA MARIA RITA LINS MARTINS</v>
      </c>
      <c r="I53" s="97"/>
      <c r="J53" s="97"/>
      <c r="K53" s="97"/>
      <c r="L53" s="97"/>
      <c r="M53" s="97"/>
      <c r="N53" s="97"/>
      <c r="O53" s="97"/>
      <c r="P53" s="97"/>
      <c r="Q53" s="97"/>
      <c r="R53" s="97"/>
    </row>
    <row r="54" customHeight="1" spans="1:18">
      <c r="A54" s="116" t="str">
        <f t="shared" si="5"/>
        <v>REGIONAL 1</v>
      </c>
      <c r="B54" s="97" t="str">
        <f>IFERROR(__xludf.dummyfunction("""COMPUTED_VALUE"""),"21/08/2026 12:22:12")</f>
        <v>21/08/2026 12:22:12</v>
      </c>
      <c r="C54" s="118" t="str">
        <f>IFERROR(__xludf.dummyfunction("""COMPUTED_VALUE"""),"8")</f>
        <v>8</v>
      </c>
      <c r="D54" s="97" t="str">
        <f>IFERROR(__xludf.dummyfunction("""COMPUTED_VALUE"""),"M. A. F. M. C")</f>
        <v>M. A. F. M. C</v>
      </c>
      <c r="E54" s="97" t="str">
        <f>IFERROR(__xludf.dummyfunction("""COMPUTED_VALUE"""),"11/04/2025")</f>
        <v>11/04/2025</v>
      </c>
      <c r="F54" s="97" t="str">
        <f>IFERROR(__xludf.dummyfunction("""COMPUTED_VALUE"""),"007******01")</f>
        <v>007******01</v>
      </c>
      <c r="G54" s="97" t="str">
        <f>IFERROR(__xludf.dummyfunction("""COMPUTED_VALUE"""),"INFANTIL 1")</f>
        <v>INFANTIL 1</v>
      </c>
      <c r="H54" s="97" t="str">
        <f>IFERROR(__xludf.dummyfunction("""COMPUTED_VALUE"""),"CRECHE MUNICIPAL PROFESSORA MARIA RITA LINS MARTINS")</f>
        <v>CRECHE MUNICIPAL PROFESSORA MARIA RITA LINS MARTINS</v>
      </c>
      <c r="I54" s="97"/>
      <c r="J54" s="97"/>
      <c r="K54" s="97"/>
      <c r="L54" s="97"/>
      <c r="M54" s="97"/>
      <c r="N54" s="97"/>
      <c r="O54" s="97"/>
      <c r="P54" s="97"/>
      <c r="Q54" s="97"/>
      <c r="R54" s="97"/>
    </row>
    <row r="55" customHeight="1" spans="1:18">
      <c r="A55" s="116" t="str">
        <f t="shared" si="5"/>
        <v>REGIONAL 1</v>
      </c>
      <c r="B55" s="97" t="str">
        <f>IFERROR(__xludf.dummyfunction("""COMPUTED_VALUE"""),"31/08/2026 22:56:10")</f>
        <v>31/08/2026 22:56:10</v>
      </c>
      <c r="C55" s="118" t="str">
        <f>IFERROR(__xludf.dummyfunction("""COMPUTED_VALUE"""),"9")</f>
        <v>9</v>
      </c>
      <c r="D55" s="97" t="str">
        <f>IFERROR(__xludf.dummyfunction("""COMPUTED_VALUE"""),"A. D. d. S. T")</f>
        <v>A. D. d. S. T</v>
      </c>
      <c r="E55" s="97" t="str">
        <f>IFERROR(__xludf.dummyfunction("""COMPUTED_VALUE"""),"26/08/2024")</f>
        <v>26/08/2024</v>
      </c>
      <c r="F55" s="97" t="str">
        <f>IFERROR(__xludf.dummyfunction("""COMPUTED_VALUE"""),"003******33")</f>
        <v>003******33</v>
      </c>
      <c r="G55" s="97" t="str">
        <f>IFERROR(__xludf.dummyfunction("""COMPUTED_VALUE"""),"INFANTIL 1")</f>
        <v>INFANTIL 1</v>
      </c>
      <c r="H55" s="97" t="str">
        <f>IFERROR(__xludf.dummyfunction("""COMPUTED_VALUE"""),"CRECHE MUNICIPAL PROFESSORA MARIA RITA LINS MARTINS")</f>
        <v>CRECHE MUNICIPAL PROFESSORA MARIA RITA LINS MARTINS</v>
      </c>
      <c r="I55" s="97"/>
      <c r="J55" s="97"/>
      <c r="K55" s="97"/>
      <c r="L55" s="97"/>
      <c r="M55" s="97"/>
      <c r="N55" s="97"/>
      <c r="O55" s="97"/>
      <c r="P55" s="97"/>
      <c r="Q55" s="97"/>
      <c r="R55" s="97"/>
    </row>
    <row r="56" customHeight="1" spans="1:18">
      <c r="A56" s="116" t="str">
        <f t="shared" si="5"/>
        <v>REGIONAL 1</v>
      </c>
      <c r="B56" s="97" t="str">
        <f>IFERROR(__xludf.dummyfunction("""COMPUTED_VALUE"""),"30/01/2026 13:46:37")</f>
        <v>30/01/2026 13:46:37</v>
      </c>
      <c r="C56" s="118" t="str">
        <f>IFERROR(__xludf.dummyfunction("""COMPUTED_VALUE"""),"1")</f>
        <v>1</v>
      </c>
      <c r="D56" s="97" t="str">
        <f>IFERROR(__xludf.dummyfunction("""COMPUTED_VALUE"""),"L. M. D. S. P")</f>
        <v>L. M. D. S. P</v>
      </c>
      <c r="E56" s="97" t="str">
        <f>IFERROR(__xludf.dummyfunction("""COMPUTED_VALUE"""),"24/01/2024")</f>
        <v>24/01/2024</v>
      </c>
      <c r="F56" s="97" t="str">
        <f>IFERROR(__xludf.dummyfunction("""COMPUTED_VALUE"""),"001******95")</f>
        <v>001******95</v>
      </c>
      <c r="G56" s="97" t="str">
        <f>IFERROR(__xludf.dummyfunction("""COMPUTED_VALUE"""),"INFANTIL 2")</f>
        <v>INFANTIL 2</v>
      </c>
      <c r="H56" s="97" t="str">
        <f>IFERROR(__xludf.dummyfunction("""COMPUTED_VALUE"""),"CRECHE MUNICIPAL PROFESSORA MARIA RITA LINS MARTINS")</f>
        <v>CRECHE MUNICIPAL PROFESSORA MARIA RITA LINS MARTINS</v>
      </c>
      <c r="I56" s="97"/>
      <c r="J56" s="97"/>
      <c r="K56" s="97"/>
      <c r="L56" s="97"/>
      <c r="M56" s="97"/>
      <c r="N56" s="97"/>
      <c r="O56" s="97"/>
      <c r="P56" s="97"/>
      <c r="Q56" s="97"/>
      <c r="R56" s="97"/>
    </row>
    <row r="57" customHeight="1" spans="1:18">
      <c r="A57" s="116" t="str">
        <f t="shared" si="5"/>
        <v>REGIONAL 1</v>
      </c>
      <c r="B57" s="97" t="str">
        <f>IFERROR(__xludf.dummyfunction("""COMPUTED_VALUE"""),"08/03/2026 00:13:08")</f>
        <v>08/03/2026 00:13:08</v>
      </c>
      <c r="C57" s="118" t="str">
        <f>IFERROR(__xludf.dummyfunction("""COMPUTED_VALUE"""),"2")</f>
        <v>2</v>
      </c>
      <c r="D57" s="97" t="str">
        <f>IFERROR(__xludf.dummyfunction("""COMPUTED_VALUE"""),"H. G. S. G. D. S")</f>
        <v>H. G. S. G. D. S</v>
      </c>
      <c r="E57" s="97" t="str">
        <f>IFERROR(__xludf.dummyfunction("""COMPUTED_VALUE"""),"19/07/2023")</f>
        <v>19/07/2023</v>
      </c>
      <c r="F57" s="97" t="str">
        <f>IFERROR(__xludf.dummyfunction("""COMPUTED_VALUE"""),"186******81")</f>
        <v>186******81</v>
      </c>
      <c r="G57" s="97" t="str">
        <f>IFERROR(__xludf.dummyfunction("""COMPUTED_VALUE"""),"INFANTIL 2")</f>
        <v>INFANTIL 2</v>
      </c>
      <c r="H57" s="97" t="str">
        <f>IFERROR(__xludf.dummyfunction("""COMPUTED_VALUE"""),"CRECHE MUNICIPAL PROFESSORA MARIA RITA LINS MARTINS")</f>
        <v>CRECHE MUNICIPAL PROFESSORA MARIA RITA LINS MARTINS</v>
      </c>
      <c r="I57" s="97"/>
      <c r="J57" s="97"/>
      <c r="K57" s="97"/>
      <c r="L57" s="97"/>
      <c r="M57" s="97"/>
      <c r="N57" s="97"/>
      <c r="O57" s="97"/>
      <c r="P57" s="97"/>
      <c r="Q57" s="97"/>
      <c r="R57" s="97"/>
    </row>
    <row r="58" customHeight="1" spans="1:18">
      <c r="A58" s="116" t="str">
        <f t="shared" si="5"/>
        <v>REGIONAL 1</v>
      </c>
      <c r="B58" s="97" t="str">
        <f>IFERROR(__xludf.dummyfunction("""COMPUTED_VALUE"""),"11/03/2026 10:30:16")</f>
        <v>11/03/2026 10:30:16</v>
      </c>
      <c r="C58" s="118" t="str">
        <f>IFERROR(__xludf.dummyfunction("""COMPUTED_VALUE"""),"3")</f>
        <v>3</v>
      </c>
      <c r="D58" s="97" t="str">
        <f>IFERROR(__xludf.dummyfunction("""COMPUTED_VALUE"""),"L. S. P")</f>
        <v>L. S. P</v>
      </c>
      <c r="E58" s="97" t="str">
        <f>IFERROR(__xludf.dummyfunction("""COMPUTED_VALUE"""),"11/12/2023")</f>
        <v>11/12/2023</v>
      </c>
      <c r="F58" s="97" t="str">
        <f>IFERROR(__xludf.dummyfunction("""COMPUTED_VALUE"""),"001******48")</f>
        <v>001******48</v>
      </c>
      <c r="G58" s="97" t="str">
        <f>IFERROR(__xludf.dummyfunction("""COMPUTED_VALUE"""),"INFANTIL 2")</f>
        <v>INFANTIL 2</v>
      </c>
      <c r="H58" s="97" t="str">
        <f>IFERROR(__xludf.dummyfunction("""COMPUTED_VALUE"""),"CRECHE MUNICIPAL PROFESSORA MARIA RITA LINS MARTINS")</f>
        <v>CRECHE MUNICIPAL PROFESSORA MARIA RITA LINS MARTINS</v>
      </c>
      <c r="I58" s="97"/>
      <c r="J58" s="97"/>
      <c r="K58" s="97"/>
      <c r="L58" s="97"/>
      <c r="M58" s="97"/>
      <c r="N58" s="97"/>
      <c r="O58" s="97"/>
      <c r="P58" s="97"/>
      <c r="Q58" s="97"/>
      <c r="R58" s="97"/>
    </row>
    <row r="59" customHeight="1" spans="1:18">
      <c r="A59" s="116" t="str">
        <f t="shared" si="5"/>
        <v>REGIONAL 1</v>
      </c>
      <c r="B59" s="97" t="str">
        <f>IFERROR(__xludf.dummyfunction("""COMPUTED_VALUE"""),"17/03/2026 08:58:14")</f>
        <v>17/03/2026 08:58:14</v>
      </c>
      <c r="C59" s="118" t="str">
        <f>IFERROR(__xludf.dummyfunction("""COMPUTED_VALUE"""),"4")</f>
        <v>4</v>
      </c>
      <c r="D59" s="97" t="str">
        <f>IFERROR(__xludf.dummyfunction("""COMPUTED_VALUE"""),"L. R. D. L")</f>
        <v>L. R. D. L</v>
      </c>
      <c r="E59" s="97" t="str">
        <f>IFERROR(__xludf.dummyfunction("""COMPUTED_VALUE"""),"09/03/2024")</f>
        <v>09/03/2024</v>
      </c>
      <c r="F59" s="97" t="str">
        <f>IFERROR(__xludf.dummyfunction("""COMPUTED_VALUE"""),"001******96")</f>
        <v>001******96</v>
      </c>
      <c r="G59" s="97" t="str">
        <f>IFERROR(__xludf.dummyfunction("""COMPUTED_VALUE"""),"INFANTIL 2")</f>
        <v>INFANTIL 2</v>
      </c>
      <c r="H59" s="97" t="str">
        <f>IFERROR(__xludf.dummyfunction("""COMPUTED_VALUE"""),"CRECHE MUNICIPAL PROFESSORA MARIA RITA LINS MARTINS")</f>
        <v>CRECHE MUNICIPAL PROFESSORA MARIA RITA LINS MARTINS</v>
      </c>
      <c r="I59" s="97"/>
      <c r="J59" s="97"/>
      <c r="K59" s="97"/>
      <c r="L59" s="97"/>
      <c r="M59" s="97"/>
      <c r="N59" s="97"/>
      <c r="O59" s="97"/>
      <c r="P59" s="97"/>
      <c r="Q59" s="97"/>
      <c r="R59" s="97"/>
    </row>
    <row r="60" customHeight="1" spans="1:18">
      <c r="A60" s="116" t="str">
        <f t="shared" si="5"/>
        <v>REGIONAL 1</v>
      </c>
      <c r="B60" s="97" t="str">
        <f>IFERROR(__xludf.dummyfunction("""COMPUTED_VALUE"""),"16/04/2026 17:20:01")</f>
        <v>16/04/2026 17:20:01</v>
      </c>
      <c r="C60" s="118" t="str">
        <f>IFERROR(__xludf.dummyfunction("""COMPUTED_VALUE"""),"5")</f>
        <v>5</v>
      </c>
      <c r="D60" s="97" t="str">
        <f>IFERROR(__xludf.dummyfunction("""COMPUTED_VALUE"""),"M. C. D. S. C. M")</f>
        <v>M. C. D. S. C. M</v>
      </c>
      <c r="E60" s="97" t="str">
        <f>IFERROR(__xludf.dummyfunction("""COMPUTED_VALUE"""),"17/04/2023")</f>
        <v>17/04/2023</v>
      </c>
      <c r="F60" s="97" t="str">
        <f>IFERROR(__xludf.dummyfunction("""COMPUTED_VALUE"""),"185******46")</f>
        <v>185******46</v>
      </c>
      <c r="G60" s="97" t="str">
        <f>IFERROR(__xludf.dummyfunction("""COMPUTED_VALUE"""),"INFANTIL 2")</f>
        <v>INFANTIL 2</v>
      </c>
      <c r="H60" s="97" t="str">
        <f>IFERROR(__xludf.dummyfunction("""COMPUTED_VALUE"""),"CRECHE MUNICIPAL PROFESSORA MARIA RITA LINS MARTINS")</f>
        <v>CRECHE MUNICIPAL PROFESSORA MARIA RITA LINS MARTINS</v>
      </c>
      <c r="I60" s="97"/>
      <c r="J60" s="97"/>
      <c r="K60" s="97"/>
      <c r="L60" s="97"/>
      <c r="M60" s="97"/>
      <c r="N60" s="97"/>
      <c r="O60" s="97"/>
      <c r="P60" s="97"/>
      <c r="Q60" s="97"/>
      <c r="R60" s="97"/>
    </row>
    <row r="61" customHeight="1" spans="1:18">
      <c r="A61" s="116" t="str">
        <f t="shared" si="5"/>
        <v>REGIONAL 1</v>
      </c>
      <c r="B61" s="97" t="str">
        <f>IFERROR(__xludf.dummyfunction("""COMPUTED_VALUE"""),"13/05/2026 08:10:15")</f>
        <v>13/05/2026 08:10:15</v>
      </c>
      <c r="C61" s="118" t="str">
        <f>IFERROR(__xludf.dummyfunction("""COMPUTED_VALUE"""),"6")</f>
        <v>6</v>
      </c>
      <c r="D61" s="97" t="str">
        <f>IFERROR(__xludf.dummyfunction("""COMPUTED_VALUE"""),"T. M. O. D. S")</f>
        <v>T. M. O. D. S</v>
      </c>
      <c r="E61" s="97" t="str">
        <f>IFERROR(__xludf.dummyfunction("""COMPUTED_VALUE"""),"16/08/2023")</f>
        <v>16/08/2023</v>
      </c>
      <c r="F61" s="97" t="str">
        <f>IFERROR(__xludf.dummyfunction("""COMPUTED_VALUE"""),"186******46")</f>
        <v>186******46</v>
      </c>
      <c r="G61" s="97" t="str">
        <f>IFERROR(__xludf.dummyfunction("""COMPUTED_VALUE"""),"INFANTIL 2")</f>
        <v>INFANTIL 2</v>
      </c>
      <c r="H61" s="97" t="str">
        <f>IFERROR(__xludf.dummyfunction("""COMPUTED_VALUE"""),"CRECHE MUNICIPAL PROFESSORA MARIA RITA LINS MARTINS")</f>
        <v>CRECHE MUNICIPAL PROFESSORA MARIA RITA LINS MARTINS</v>
      </c>
      <c r="I61" s="97"/>
      <c r="J61" s="97"/>
      <c r="K61" s="97"/>
      <c r="L61" s="97"/>
      <c r="M61" s="97"/>
      <c r="N61" s="97"/>
      <c r="O61" s="97"/>
      <c r="P61" s="97"/>
      <c r="Q61" s="97"/>
      <c r="R61" s="97"/>
    </row>
    <row r="62" customHeight="1" spans="1:18">
      <c r="A62" s="116" t="str">
        <f t="shared" si="5"/>
        <v>REGIONAL 1</v>
      </c>
      <c r="B62" s="97" t="str">
        <f>IFERROR(__xludf.dummyfunction("""COMPUTED_VALUE"""),"16/04/2026 17:16:18")</f>
        <v>16/04/2026 17:16:18</v>
      </c>
      <c r="C62" s="118" t="str">
        <f>IFERROR(__xludf.dummyfunction("""COMPUTED_VALUE"""),"1")</f>
        <v>1</v>
      </c>
      <c r="D62" s="97" t="str">
        <f>IFERROR(__xludf.dummyfunction("""COMPUTED_VALUE"""),"M. G. D. S. C. M")</f>
        <v>M. G. D. S. C. M</v>
      </c>
      <c r="E62" s="97" t="str">
        <f>IFERROR(__xludf.dummyfunction("""COMPUTED_VALUE"""),"11/04/2022")</f>
        <v>11/04/2022</v>
      </c>
      <c r="F62" s="97" t="str">
        <f>IFERROR(__xludf.dummyfunction("""COMPUTED_VALUE"""),"181******09")</f>
        <v>181******09</v>
      </c>
      <c r="G62" s="97" t="str">
        <f>IFERROR(__xludf.dummyfunction("""COMPUTED_VALUE"""),"INFANTIL 3")</f>
        <v>INFANTIL 3</v>
      </c>
      <c r="H62" s="97" t="str">
        <f>IFERROR(__xludf.dummyfunction("""COMPUTED_VALUE"""),"CRECHE MUNICIPAL PROFESSORA MARIA RITA LINS MARTINS")</f>
        <v>CRECHE MUNICIPAL PROFESSORA MARIA RITA LINS MARTINS</v>
      </c>
      <c r="I62" s="97"/>
      <c r="J62" s="97"/>
      <c r="K62" s="97"/>
      <c r="L62" s="97"/>
      <c r="M62" s="97"/>
      <c r="N62" s="97"/>
      <c r="O62" s="97"/>
      <c r="P62" s="97"/>
      <c r="Q62" s="97"/>
      <c r="R62" s="97"/>
    </row>
    <row r="63" customHeight="1" spans="1:18">
      <c r="A63" s="116" t="str">
        <f t="shared" si="5"/>
        <v>REGIONAL 1</v>
      </c>
      <c r="B63" s="97" t="str">
        <f>IFERROR(__xludf.dummyfunction("""COMPUTED_VALUE"""),"10/05/2026 13:58:19")</f>
        <v>10/05/2026 13:58:19</v>
      </c>
      <c r="C63" s="118" t="str">
        <f>IFERROR(__xludf.dummyfunction("""COMPUTED_VALUE"""),"2")</f>
        <v>2</v>
      </c>
      <c r="D63" s="97" t="str">
        <f>IFERROR(__xludf.dummyfunction("""COMPUTED_VALUE"""),"D. E. D. M")</f>
        <v>D. E. D. M</v>
      </c>
      <c r="E63" s="97" t="str">
        <f>IFERROR(__xludf.dummyfunction("""COMPUTED_VALUE"""),"07/01/2023")</f>
        <v>07/01/2023</v>
      </c>
      <c r="F63" s="97" t="str">
        <f>IFERROR(__xludf.dummyfunction("""COMPUTED_VALUE"""),"184******52")</f>
        <v>184******52</v>
      </c>
      <c r="G63" s="97" t="str">
        <f>IFERROR(__xludf.dummyfunction("""COMPUTED_VALUE"""),"INFANTIL 3")</f>
        <v>INFANTIL 3</v>
      </c>
      <c r="H63" s="97" t="str">
        <f>IFERROR(__xludf.dummyfunction("""COMPUTED_VALUE"""),"CRECHE MUNICIPAL PROFESSORA MARIA RITA LINS MARTINS")</f>
        <v>CRECHE MUNICIPAL PROFESSORA MARIA RITA LINS MARTINS</v>
      </c>
      <c r="I63" s="97"/>
      <c r="J63" s="97"/>
      <c r="K63" s="97"/>
      <c r="L63" s="97"/>
      <c r="M63" s="97"/>
      <c r="N63" s="97"/>
      <c r="O63" s="97"/>
      <c r="P63" s="97"/>
      <c r="Q63" s="97"/>
      <c r="R63" s="97"/>
    </row>
    <row r="64" customHeight="1" spans="1:18">
      <c r="A64" s="116" t="str">
        <f t="shared" si="5"/>
        <v>REGIONAL 1</v>
      </c>
      <c r="B64" s="97" t="str">
        <f>IFERROR(__xludf.dummyfunction("""COMPUTED_VALUE"""),"15/06/2026 14:59:35")</f>
        <v>15/06/2026 14:59:35</v>
      </c>
      <c r="C64" s="118" t="str">
        <f>IFERROR(__xludf.dummyfunction("""COMPUTED_VALUE"""),"3")</f>
        <v>3</v>
      </c>
      <c r="D64" s="97" t="str">
        <f>IFERROR(__xludf.dummyfunction("""COMPUTED_VALUE"""),"Y. L. S. D. C")</f>
        <v>Y. L. S. D. C</v>
      </c>
      <c r="E64" s="97" t="str">
        <f>IFERROR(__xludf.dummyfunction("""COMPUTED_VALUE"""),"05/06/2022")</f>
        <v>05/06/2022</v>
      </c>
      <c r="F64" s="97" t="str">
        <f>IFERROR(__xludf.dummyfunction("""COMPUTED_VALUE"""),"182******93")</f>
        <v>182******93</v>
      </c>
      <c r="G64" s="97" t="str">
        <f>IFERROR(__xludf.dummyfunction("""COMPUTED_VALUE"""),"INFANTIL 3")</f>
        <v>INFANTIL 3</v>
      </c>
      <c r="H64" s="97" t="str">
        <f>IFERROR(__xludf.dummyfunction("""COMPUTED_VALUE"""),"CRECHE MUNICIPAL PROFESSORA MARIA RITA LINS MARTINS")</f>
        <v>CRECHE MUNICIPAL PROFESSORA MARIA RITA LINS MARTINS</v>
      </c>
      <c r="I64" s="97"/>
      <c r="J64" s="97"/>
      <c r="K64" s="97"/>
      <c r="L64" s="97"/>
      <c r="M64" s="97"/>
      <c r="N64" s="97"/>
      <c r="O64" s="97"/>
      <c r="P64" s="97"/>
      <c r="Q64" s="97"/>
      <c r="R64" s="97"/>
    </row>
    <row r="65" customHeight="1" spans="1:18">
      <c r="A65" s="116"/>
      <c r="B65" s="97"/>
      <c r="C65" s="118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</row>
    <row r="66" customHeight="1" spans="1:18">
      <c r="A66" s="116"/>
      <c r="B66" s="97"/>
      <c r="C66" s="118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</row>
    <row r="67" customHeight="1" spans="1:18">
      <c r="A67" s="116"/>
      <c r="B67" s="97"/>
      <c r="C67" s="118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</row>
    <row r="68" customHeight="1" spans="1:18">
      <c r="A68" s="116"/>
      <c r="B68" s="97"/>
      <c r="C68" s="118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</row>
    <row r="69" customHeight="1" spans="1:18">
      <c r="A69" s="116"/>
      <c r="B69" s="97"/>
      <c r="C69" s="118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</row>
    <row r="70" customHeight="1" spans="1:18">
      <c r="A70" s="116"/>
      <c r="B70" s="97"/>
      <c r="C70" s="118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</row>
    <row r="71" customHeight="1" spans="1:18">
      <c r="A71" s="116"/>
      <c r="B71" s="97"/>
      <c r="C71" s="118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</row>
    <row r="72" customHeight="1" spans="1:18">
      <c r="A72" s="116"/>
      <c r="B72" s="97"/>
      <c r="C72" s="118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</row>
    <row r="73" customHeight="1" spans="1:18">
      <c r="A73" s="116"/>
      <c r="B73" s="97"/>
      <c r="C73" s="118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</row>
    <row r="74" customHeight="1" spans="1:18">
      <c r="A74" s="116"/>
      <c r="B74" s="97"/>
      <c r="C74" s="118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</row>
    <row r="75" customHeight="1" spans="1:18">
      <c r="A75" s="116"/>
      <c r="B75" s="97"/>
      <c r="C75" s="118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</row>
    <row r="76" customHeight="1" spans="1:18">
      <c r="A76" s="116"/>
      <c r="B76" s="97"/>
      <c r="C76" s="118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</row>
    <row r="77" customHeight="1" spans="1:18">
      <c r="A77" s="116"/>
      <c r="B77" s="97"/>
      <c r="C77" s="118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</row>
    <row r="78" customHeight="1" spans="1:18">
      <c r="A78" s="116"/>
      <c r="B78" s="97"/>
      <c r="C78" s="118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</row>
    <row r="79" customHeight="1" spans="1:18">
      <c r="A79" s="116"/>
      <c r="B79" s="97"/>
      <c r="C79" s="118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</row>
    <row r="80" customHeight="1" spans="1:18">
      <c r="A80" s="116"/>
      <c r="B80" s="97"/>
      <c r="C80" s="118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</row>
    <row r="81" customHeight="1" spans="1:18">
      <c r="A81" s="116"/>
      <c r="B81" s="97"/>
      <c r="C81" s="118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</row>
    <row r="82" customHeight="1" spans="1:18">
      <c r="A82" s="116"/>
      <c r="B82" s="97"/>
      <c r="C82" s="118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</row>
    <row r="83" customHeight="1" spans="1:18">
      <c r="A83" s="116"/>
      <c r="B83" s="97"/>
      <c r="C83" s="118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</row>
    <row r="84" customHeight="1" spans="1:18">
      <c r="A84" s="116"/>
      <c r="B84" s="97"/>
      <c r="C84" s="118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</row>
    <row r="85" customHeight="1" spans="1:18">
      <c r="A85" s="116"/>
      <c r="B85" s="97"/>
      <c r="C85" s="118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</row>
    <row r="86" customHeight="1" spans="1:18">
      <c r="A86" s="116"/>
      <c r="B86" s="97"/>
      <c r="C86" s="118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</row>
    <row r="87" customHeight="1" spans="1:18">
      <c r="A87" s="116"/>
      <c r="B87" s="97"/>
      <c r="C87" s="118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</row>
    <row r="88" customHeight="1" spans="1:18">
      <c r="A88" s="116"/>
      <c r="B88" s="97"/>
      <c r="C88" s="118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</row>
    <row r="89" customHeight="1" spans="1:18">
      <c r="A89" s="116"/>
      <c r="B89" s="97"/>
      <c r="C89" s="118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</row>
    <row r="90" customHeight="1" spans="1:18">
      <c r="A90" s="116"/>
      <c r="B90" s="97"/>
      <c r="C90" s="118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</row>
    <row r="91" customHeight="1" spans="1:18">
      <c r="A91" s="116"/>
      <c r="B91" s="97"/>
      <c r="C91" s="118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</row>
    <row r="92" customHeight="1" spans="1:18">
      <c r="A92" s="116"/>
      <c r="B92" s="97"/>
      <c r="C92" s="118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</row>
    <row r="93" customHeight="1" spans="1:18">
      <c r="A93" s="116"/>
      <c r="B93" s="97"/>
      <c r="C93" s="118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</row>
    <row r="94" customHeight="1" spans="1:18">
      <c r="A94" s="116"/>
      <c r="B94" s="97"/>
      <c r="C94" s="118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</row>
    <row r="95" customHeight="1" spans="1:18">
      <c r="A95" s="116"/>
      <c r="B95" s="97"/>
      <c r="C95" s="118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</row>
    <row r="96" customHeight="1" spans="1:18">
      <c r="A96" s="116"/>
      <c r="B96" s="97"/>
      <c r="C96" s="118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</row>
    <row r="97" customHeight="1" spans="1:18">
      <c r="A97" s="116"/>
      <c r="B97" s="97"/>
      <c r="C97" s="118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</row>
    <row r="98" customHeight="1" spans="1:18">
      <c r="A98" s="116"/>
      <c r="B98" s="97"/>
      <c r="C98" s="118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</row>
    <row r="99" customHeight="1" spans="1:18">
      <c r="A99" s="116"/>
      <c r="B99" s="97"/>
      <c r="C99" s="118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</row>
    <row r="100" customHeight="1" spans="1:18">
      <c r="A100" s="116"/>
      <c r="B100" s="97"/>
      <c r="C100" s="118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</row>
    <row r="101" customHeight="1" spans="1:18">
      <c r="A101" s="116"/>
      <c r="B101" s="97"/>
      <c r="C101" s="118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</row>
    <row r="102" customHeight="1" spans="1:18">
      <c r="A102" s="116"/>
      <c r="B102" s="97"/>
      <c r="C102" s="118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</row>
    <row r="103" customHeight="1" spans="1:18">
      <c r="A103" s="116"/>
      <c r="B103" s="97"/>
      <c r="C103" s="118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</row>
    <row r="104" customHeight="1" spans="1:18">
      <c r="A104" s="116"/>
      <c r="B104" s="97"/>
      <c r="C104" s="118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</row>
    <row r="105" customHeight="1" spans="1:18">
      <c r="A105" s="116"/>
      <c r="B105" s="97"/>
      <c r="C105" s="118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</row>
    <row r="106" customHeight="1" spans="1:18">
      <c r="A106" s="116"/>
      <c r="B106" s="97"/>
      <c r="C106" s="118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</row>
    <row r="107" customHeight="1" spans="1:18">
      <c r="A107" s="116"/>
      <c r="B107" s="97"/>
      <c r="C107" s="118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</row>
    <row r="108" customHeight="1" spans="1:18">
      <c r="A108" s="116"/>
      <c r="B108" s="97"/>
      <c r="C108" s="118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</row>
    <row r="109" customHeight="1" spans="1:18">
      <c r="A109" s="116"/>
      <c r="B109" s="97"/>
      <c r="C109" s="118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</row>
    <row r="110" customHeight="1" spans="1:18">
      <c r="A110" s="116"/>
      <c r="B110" s="97"/>
      <c r="C110" s="118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</row>
    <row r="111" customHeight="1" spans="1:18">
      <c r="A111" s="116"/>
      <c r="B111" s="97"/>
      <c r="C111" s="118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</row>
    <row r="112" customHeight="1" spans="1:18">
      <c r="A112" s="116"/>
      <c r="B112" s="97"/>
      <c r="C112" s="118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</row>
    <row r="113" customHeight="1" spans="1:18">
      <c r="A113" s="116"/>
      <c r="B113" s="97"/>
      <c r="C113" s="118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</row>
    <row r="114" customHeight="1" spans="1:18">
      <c r="A114" s="116"/>
      <c r="B114" s="97"/>
      <c r="C114" s="118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</row>
    <row r="115" customHeight="1" spans="1:18">
      <c r="A115" s="116"/>
      <c r="B115" s="97"/>
      <c r="C115" s="118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</row>
    <row r="116" customHeight="1" spans="1:18">
      <c r="A116" s="116"/>
      <c r="B116" s="97"/>
      <c r="C116" s="118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</row>
    <row r="117" customHeight="1" spans="1:18">
      <c r="A117" s="116"/>
      <c r="B117" s="97"/>
      <c r="C117" s="118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</row>
    <row r="118" customHeight="1" spans="1:18">
      <c r="A118" s="116"/>
      <c r="B118" s="97"/>
      <c r="C118" s="118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</row>
    <row r="119" customHeight="1" spans="1:18">
      <c r="A119" s="116"/>
      <c r="B119" s="97"/>
      <c r="C119" s="118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</row>
    <row r="120" customHeight="1" spans="1:18">
      <c r="A120" s="116"/>
      <c r="B120" s="97"/>
      <c r="C120" s="118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</row>
    <row r="121" customHeight="1" spans="1:18">
      <c r="A121" s="116"/>
      <c r="B121" s="97"/>
      <c r="C121" s="118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</row>
    <row r="122" customHeight="1" spans="1:18">
      <c r="A122" s="116"/>
      <c r="B122" s="97"/>
      <c r="C122" s="118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</row>
    <row r="123" customHeight="1" spans="1:18">
      <c r="A123" s="116"/>
      <c r="B123" s="97"/>
      <c r="C123" s="118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</row>
    <row r="124" customHeight="1" spans="1:18">
      <c r="A124" s="116"/>
      <c r="B124" s="97"/>
      <c r="C124" s="118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</row>
    <row r="125" customHeight="1" spans="1:18">
      <c r="A125" s="116"/>
      <c r="B125" s="97"/>
      <c r="C125" s="118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</row>
    <row r="126" customHeight="1" spans="1:18">
      <c r="A126" s="116"/>
      <c r="B126" s="97"/>
      <c r="C126" s="118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</row>
    <row r="127" customHeight="1" spans="1:18">
      <c r="A127" s="116"/>
      <c r="B127" s="97"/>
      <c r="C127" s="118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</row>
    <row r="128" customHeight="1" spans="1:18">
      <c r="A128" s="116"/>
      <c r="B128" s="97"/>
      <c r="C128" s="118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</row>
    <row r="129" customHeight="1" spans="1:18">
      <c r="A129" s="116"/>
      <c r="B129" s="97"/>
      <c r="C129" s="118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</row>
    <row r="130" customHeight="1" spans="1:18">
      <c r="A130" s="116"/>
      <c r="B130" s="97"/>
      <c r="C130" s="118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</row>
    <row r="131" customHeight="1" spans="1:18">
      <c r="A131" s="116"/>
      <c r="B131" s="97"/>
      <c r="C131" s="118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</row>
    <row r="132" customHeight="1" spans="1:18">
      <c r="A132" s="116"/>
      <c r="B132" s="97"/>
      <c r="C132" s="118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</row>
    <row r="133" customHeight="1" spans="1:18">
      <c r="A133" s="116"/>
      <c r="B133" s="97"/>
      <c r="C133" s="118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</row>
    <row r="134" customHeight="1" spans="1:18">
      <c r="A134" s="116"/>
      <c r="B134" s="97"/>
      <c r="C134" s="118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</row>
    <row r="135" customHeight="1" spans="1:18">
      <c r="A135" s="116"/>
      <c r="B135" s="97"/>
      <c r="C135" s="118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</row>
    <row r="136" customHeight="1" spans="1:18">
      <c r="A136" s="116"/>
      <c r="B136" s="97"/>
      <c r="C136" s="118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</row>
    <row r="137" customHeight="1" spans="1:18">
      <c r="A137" s="116"/>
      <c r="B137" s="97"/>
      <c r="C137" s="118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</row>
    <row r="138" customHeight="1" spans="1:18">
      <c r="A138" s="116"/>
      <c r="B138" s="97"/>
      <c r="C138" s="118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</row>
    <row r="139" customHeight="1" spans="1:18">
      <c r="A139" s="116"/>
      <c r="B139" s="97"/>
      <c r="C139" s="118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</row>
    <row r="140" customHeight="1" spans="1:18">
      <c r="A140" s="116"/>
      <c r="B140" s="97"/>
      <c r="C140" s="118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</row>
    <row r="141" customHeight="1" spans="1:18">
      <c r="A141" s="116"/>
      <c r="B141" s="97"/>
      <c r="C141" s="118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</row>
    <row r="142" customHeight="1" spans="1:18">
      <c r="A142" s="116"/>
      <c r="B142" s="97"/>
      <c r="C142" s="118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</row>
    <row r="143" customHeight="1" spans="1:18">
      <c r="A143" s="116"/>
      <c r="B143" s="97"/>
      <c r="C143" s="118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</row>
    <row r="144" customHeight="1" spans="1:18">
      <c r="A144" s="116"/>
      <c r="B144" s="97"/>
      <c r="C144" s="118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</row>
    <row r="145" customHeight="1" spans="1:18">
      <c r="A145" s="116"/>
      <c r="B145" s="97"/>
      <c r="C145" s="118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</row>
    <row r="146" customHeight="1" spans="1:18">
      <c r="A146" s="116"/>
      <c r="B146" s="97"/>
      <c r="C146" s="118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</row>
    <row r="147" customHeight="1" spans="1:18">
      <c r="A147" s="116"/>
      <c r="B147" s="97"/>
      <c r="C147" s="118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</row>
    <row r="148" customHeight="1" spans="1:18">
      <c r="A148" s="116"/>
      <c r="B148" s="97"/>
      <c r="C148" s="118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</row>
    <row r="149" customHeight="1" spans="1:18">
      <c r="A149" s="116"/>
      <c r="B149" s="97"/>
      <c r="C149" s="118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</row>
    <row r="150" customHeight="1" spans="1:18">
      <c r="A150" s="116"/>
      <c r="B150" s="97"/>
      <c r="C150" s="118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</row>
    <row r="151" customHeight="1" spans="1:18">
      <c r="A151" s="116"/>
      <c r="B151" s="97"/>
      <c r="C151" s="118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</row>
    <row r="152" customHeight="1" spans="1:18">
      <c r="A152" s="116"/>
      <c r="B152" s="97"/>
      <c r="C152" s="118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</row>
    <row r="153" customHeight="1" spans="1:18">
      <c r="A153" s="116"/>
      <c r="B153" s="97"/>
      <c r="C153" s="118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</row>
    <row r="154" customHeight="1" spans="1:18">
      <c r="A154" s="116"/>
      <c r="B154" s="97"/>
      <c r="C154" s="118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</row>
    <row r="155" customHeight="1" spans="1:18">
      <c r="A155" s="116"/>
      <c r="B155" s="97"/>
      <c r="C155" s="118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</row>
    <row r="156" customHeight="1" spans="1:18">
      <c r="A156" s="116"/>
      <c r="B156" s="97"/>
      <c r="C156" s="118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</row>
    <row r="157" customHeight="1" spans="1:18">
      <c r="A157" s="116"/>
      <c r="B157" s="97"/>
      <c r="C157" s="118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</row>
    <row r="158" customHeight="1" spans="1:18">
      <c r="A158" s="116"/>
      <c r="B158" s="97"/>
      <c r="C158" s="118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</row>
    <row r="159" customHeight="1" spans="1:18">
      <c r="A159" s="116"/>
      <c r="B159" s="97"/>
      <c r="C159" s="118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</row>
    <row r="160" customHeight="1" spans="1:18">
      <c r="A160" s="116"/>
      <c r="B160" s="97"/>
      <c r="C160" s="118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</row>
    <row r="161" customHeight="1" spans="1:18">
      <c r="A161" s="116"/>
      <c r="B161" s="97"/>
      <c r="C161" s="118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</row>
    <row r="162" customHeight="1" spans="1:18">
      <c r="A162" s="116"/>
      <c r="B162" s="97"/>
      <c r="C162" s="118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</row>
    <row r="163" customHeight="1" spans="1:18">
      <c r="A163" s="116"/>
      <c r="B163" s="97"/>
      <c r="C163" s="118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</row>
    <row r="164" customHeight="1" spans="1:18">
      <c r="A164" s="116"/>
      <c r="B164" s="97"/>
      <c r="C164" s="118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</row>
    <row r="165" customHeight="1" spans="1:18">
      <c r="A165" s="116"/>
      <c r="B165" s="97"/>
      <c r="C165" s="118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</row>
    <row r="166" customHeight="1" spans="1:18">
      <c r="A166" s="116"/>
      <c r="B166" s="97"/>
      <c r="C166" s="118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</row>
    <row r="167" customHeight="1" spans="1:18">
      <c r="A167" s="116"/>
      <c r="B167" s="97"/>
      <c r="C167" s="118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</row>
    <row r="168" customHeight="1" spans="1:18">
      <c r="A168" s="116"/>
      <c r="B168" s="97"/>
      <c r="C168" s="118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</row>
    <row r="169" customHeight="1" spans="1:18">
      <c r="A169" s="116"/>
      <c r="B169" s="97"/>
      <c r="C169" s="118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</row>
    <row r="170" customHeight="1" spans="1:18">
      <c r="A170" s="116"/>
      <c r="B170" s="97"/>
      <c r="C170" s="118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</row>
    <row r="171" customHeight="1" spans="1:18">
      <c r="A171" s="116"/>
      <c r="B171" s="97"/>
      <c r="C171" s="118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</row>
    <row r="172" customHeight="1" spans="1:18">
      <c r="A172" s="116"/>
      <c r="B172" s="97"/>
      <c r="C172" s="118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</row>
    <row r="173" customHeight="1" spans="1:18">
      <c r="A173" s="116"/>
      <c r="B173" s="97"/>
      <c r="C173" s="118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</row>
    <row r="174" customHeight="1" spans="1:18">
      <c r="A174" s="116"/>
      <c r="B174" s="97"/>
      <c r="C174" s="118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</row>
    <row r="175" customHeight="1" spans="1:18">
      <c r="A175" s="116"/>
      <c r="B175" s="97"/>
      <c r="C175" s="118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</row>
    <row r="176" customHeight="1" spans="1:18">
      <c r="A176" s="116"/>
      <c r="B176" s="97"/>
      <c r="C176" s="118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</row>
    <row r="177" customHeight="1" spans="1:18">
      <c r="A177" s="116"/>
      <c r="B177" s="97"/>
      <c r="C177" s="118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</row>
    <row r="178" customHeight="1" spans="1:18">
      <c r="A178" s="116"/>
      <c r="B178" s="97"/>
      <c r="C178" s="118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</row>
    <row r="179" customHeight="1" spans="1:18">
      <c r="A179" s="116"/>
      <c r="B179" s="97"/>
      <c r="C179" s="118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</row>
    <row r="180" customHeight="1" spans="1:18">
      <c r="A180" s="116"/>
      <c r="B180" s="97"/>
      <c r="C180" s="118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</row>
    <row r="181" customHeight="1" spans="1:18">
      <c r="A181" s="116"/>
      <c r="B181" s="97"/>
      <c r="C181" s="118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</row>
    <row r="182" customHeight="1" spans="1:18">
      <c r="A182" s="116"/>
      <c r="B182" s="97"/>
      <c r="C182" s="118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</row>
    <row r="183" customHeight="1" spans="1:18">
      <c r="A183" s="116"/>
      <c r="B183" s="97"/>
      <c r="C183" s="118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</row>
    <row r="184" customHeight="1" spans="1:18">
      <c r="A184" s="116"/>
      <c r="B184" s="97"/>
      <c r="C184" s="118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</row>
    <row r="185" customHeight="1" spans="1:18">
      <c r="A185" s="116"/>
      <c r="B185" s="97"/>
      <c r="C185" s="118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</row>
    <row r="186" customHeight="1" spans="1:18">
      <c r="A186" s="116"/>
      <c r="B186" s="97"/>
      <c r="C186" s="118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</row>
    <row r="187" customHeight="1" spans="1:18">
      <c r="A187" s="116"/>
      <c r="B187" s="97"/>
      <c r="C187" s="118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</row>
    <row r="188" customHeight="1" spans="1:18">
      <c r="A188" s="116"/>
      <c r="B188" s="97"/>
      <c r="C188" s="118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</row>
    <row r="189" customHeight="1" spans="1:18">
      <c r="A189" s="116"/>
      <c r="B189" s="97"/>
      <c r="C189" s="118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</row>
    <row r="190" customHeight="1" spans="1:18">
      <c r="A190" s="116"/>
      <c r="B190" s="97"/>
      <c r="C190" s="118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</row>
    <row r="191" customHeight="1" spans="1:18">
      <c r="A191" s="116"/>
      <c r="B191" s="97"/>
      <c r="C191" s="118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</row>
    <row r="192" customHeight="1" spans="1:18">
      <c r="A192" s="116"/>
      <c r="B192" s="97"/>
      <c r="C192" s="118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</row>
    <row r="193" customHeight="1" spans="1:18">
      <c r="A193" s="116"/>
      <c r="B193" s="97"/>
      <c r="C193" s="118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</row>
    <row r="194" customHeight="1" spans="1:18">
      <c r="A194" s="116"/>
      <c r="B194" s="97"/>
      <c r="C194" s="118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</row>
    <row r="195" customHeight="1" spans="1:18">
      <c r="A195" s="116"/>
      <c r="B195" s="97"/>
      <c r="C195" s="118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</row>
    <row r="196" customHeight="1" spans="1:18">
      <c r="A196" s="116"/>
      <c r="B196" s="97"/>
      <c r="C196" s="118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</row>
    <row r="197" customHeight="1" spans="1:18">
      <c r="A197" s="116"/>
      <c r="B197" s="97"/>
      <c r="C197" s="118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</row>
    <row r="198" customHeight="1" spans="1:18">
      <c r="A198" s="116"/>
      <c r="B198" s="97"/>
      <c r="C198" s="118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</row>
    <row r="199" customHeight="1" spans="1:18">
      <c r="A199" s="116"/>
      <c r="B199" s="97"/>
      <c r="C199" s="118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</row>
    <row r="200" customHeight="1" spans="1:18">
      <c r="A200" s="116"/>
      <c r="B200" s="97"/>
      <c r="C200" s="118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</row>
    <row r="201" customHeight="1" spans="1:18">
      <c r="A201" s="116"/>
      <c r="B201" s="97"/>
      <c r="C201" s="118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</row>
    <row r="202" customHeight="1" spans="1:18">
      <c r="A202" s="116"/>
      <c r="B202" s="97"/>
      <c r="C202" s="118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</row>
    <row r="203" customHeight="1" spans="1:18">
      <c r="A203" s="116"/>
      <c r="B203" s="97"/>
      <c r="C203" s="118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</row>
    <row r="204" customHeight="1" spans="1:18">
      <c r="A204" s="116"/>
      <c r="B204" s="97"/>
      <c r="C204" s="118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</row>
    <row r="205" customHeight="1" spans="1:18">
      <c r="A205" s="116"/>
      <c r="B205" s="97"/>
      <c r="C205" s="118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</row>
    <row r="206" customHeight="1" spans="1:18">
      <c r="A206" s="116"/>
      <c r="B206" s="97"/>
      <c r="C206" s="118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</row>
    <row r="207" customHeight="1" spans="1:18">
      <c r="A207" s="116"/>
      <c r="B207" s="97"/>
      <c r="C207" s="118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</row>
    <row r="208" customHeight="1" spans="1:18">
      <c r="A208" s="116"/>
      <c r="B208" s="97"/>
      <c r="C208" s="118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</row>
    <row r="209" customHeight="1" spans="1:18">
      <c r="A209" s="116"/>
      <c r="B209" s="97"/>
      <c r="C209" s="118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</row>
    <row r="210" customHeight="1" spans="1:18">
      <c r="A210" s="116"/>
      <c r="B210" s="97"/>
      <c r="C210" s="118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</row>
    <row r="211" customHeight="1" spans="1:18">
      <c r="A211" s="116"/>
      <c r="B211" s="97"/>
      <c r="C211" s="118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</row>
    <row r="212" customHeight="1" spans="1:18">
      <c r="A212" s="116"/>
      <c r="B212" s="97"/>
      <c r="C212" s="118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</row>
    <row r="213" customHeight="1" spans="1:18">
      <c r="A213" s="116"/>
      <c r="B213" s="97"/>
      <c r="C213" s="118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</row>
    <row r="214" customHeight="1" spans="1:18">
      <c r="A214" s="116"/>
      <c r="B214" s="97"/>
      <c r="C214" s="118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</row>
    <row r="215" customHeight="1" spans="1:18">
      <c r="A215" s="116"/>
      <c r="B215" s="97"/>
      <c r="C215" s="118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</row>
    <row r="216" customHeight="1" spans="1:18">
      <c r="A216" s="116"/>
      <c r="B216" s="97"/>
      <c r="C216" s="118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</row>
    <row r="217" customHeight="1" spans="1:18">
      <c r="A217" s="116"/>
      <c r="B217" s="97"/>
      <c r="C217" s="118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</row>
    <row r="218" customHeight="1" spans="1:18">
      <c r="A218" s="116"/>
      <c r="B218" s="97"/>
      <c r="C218" s="118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</row>
    <row r="219" customHeight="1" spans="1:18">
      <c r="A219" s="116"/>
      <c r="B219" s="97"/>
      <c r="C219" s="118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</row>
    <row r="220" customHeight="1" spans="1:18">
      <c r="A220" s="116"/>
      <c r="B220" s="97"/>
      <c r="C220" s="118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</row>
    <row r="221" customHeight="1" spans="1:18">
      <c r="A221" s="116"/>
      <c r="B221" s="97"/>
      <c r="C221" s="118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</row>
    <row r="222" customHeight="1" spans="1:18">
      <c r="A222" s="116"/>
      <c r="B222" s="97"/>
      <c r="C222" s="118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</row>
    <row r="223" customHeight="1" spans="1:18">
      <c r="A223" s="116"/>
      <c r="B223" s="97"/>
      <c r="C223" s="118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</row>
    <row r="224" customHeight="1" spans="1:18">
      <c r="A224" s="116"/>
      <c r="B224" s="97"/>
      <c r="C224" s="118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</row>
    <row r="225" customHeight="1" spans="1:18">
      <c r="A225" s="116"/>
      <c r="B225" s="97"/>
      <c r="C225" s="118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</row>
    <row r="226" customHeight="1" spans="1:18">
      <c r="A226" s="116"/>
      <c r="B226" s="97"/>
      <c r="C226" s="118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</row>
    <row r="227" customHeight="1" spans="1:18">
      <c r="A227" s="116"/>
      <c r="B227" s="97"/>
      <c r="C227" s="118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</row>
    <row r="228" customHeight="1" spans="1:18">
      <c r="A228" s="116"/>
      <c r="B228" s="97"/>
      <c r="C228" s="118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</row>
    <row r="229" customHeight="1" spans="1:18">
      <c r="A229" s="116"/>
      <c r="B229" s="97"/>
      <c r="C229" s="118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</row>
    <row r="230" customHeight="1" spans="1:18">
      <c r="A230" s="116"/>
      <c r="B230" s="97"/>
      <c r="C230" s="118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</row>
    <row r="231" customHeight="1" spans="1:18">
      <c r="A231" s="116"/>
      <c r="B231" s="97"/>
      <c r="C231" s="118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</row>
    <row r="232" customHeight="1" spans="1:18">
      <c r="A232" s="116"/>
      <c r="B232" s="97"/>
      <c r="C232" s="118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</row>
    <row r="233" customHeight="1" spans="1:18">
      <c r="A233" s="116"/>
      <c r="B233" s="97"/>
      <c r="C233" s="118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</row>
    <row r="234" customHeight="1" spans="1:18">
      <c r="A234" s="116"/>
      <c r="B234" s="97"/>
      <c r="C234" s="118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</row>
    <row r="235" customHeight="1" spans="1:18">
      <c r="A235" s="116"/>
      <c r="B235" s="97"/>
      <c r="C235" s="118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</row>
    <row r="236" customHeight="1" spans="1:18">
      <c r="A236" s="116"/>
      <c r="B236" s="97"/>
      <c r="C236" s="118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</row>
    <row r="237" customHeight="1" spans="1:18">
      <c r="A237" s="116"/>
      <c r="B237" s="97"/>
      <c r="C237" s="118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</row>
    <row r="238" customHeight="1" spans="1:18">
      <c r="A238" s="116"/>
      <c r="B238" s="97"/>
      <c r="C238" s="118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</row>
    <row r="239" customHeight="1" spans="1:18">
      <c r="A239" s="116"/>
      <c r="B239" s="97"/>
      <c r="C239" s="118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</row>
    <row r="240" customHeight="1" spans="1:18">
      <c r="A240" s="116"/>
      <c r="B240" s="97"/>
      <c r="C240" s="118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</row>
    <row r="241" customHeight="1" spans="1:18">
      <c r="A241" s="116"/>
      <c r="B241" s="97"/>
      <c r="C241" s="118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</row>
    <row r="242" customHeight="1" spans="1:18">
      <c r="A242" s="116"/>
      <c r="B242" s="97"/>
      <c r="C242" s="118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</row>
    <row r="243" customHeight="1" spans="1:18">
      <c r="A243" s="116"/>
      <c r="B243" s="97"/>
      <c r="C243" s="118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</row>
    <row r="244" customHeight="1" spans="1:18">
      <c r="A244" s="116"/>
      <c r="B244" s="97"/>
      <c r="C244" s="118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</row>
    <row r="245" customHeight="1" spans="1:18">
      <c r="A245" s="116"/>
      <c r="B245" s="97"/>
      <c r="C245" s="118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</row>
    <row r="246" customHeight="1" spans="1:18">
      <c r="A246" s="116"/>
      <c r="B246" s="97"/>
      <c r="C246" s="118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</row>
    <row r="247" customHeight="1" spans="1:18">
      <c r="A247" s="116"/>
      <c r="B247" s="97"/>
      <c r="C247" s="118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</row>
    <row r="248" customHeight="1" spans="1:18">
      <c r="A248" s="116"/>
      <c r="B248" s="97"/>
      <c r="C248" s="118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</row>
    <row r="249" customHeight="1" spans="1:18">
      <c r="A249" s="116"/>
      <c r="B249" s="97"/>
      <c r="C249" s="118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</row>
    <row r="250" customHeight="1" spans="1:18">
      <c r="A250" s="116"/>
      <c r="B250" s="97"/>
      <c r="C250" s="118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</row>
    <row r="251" customHeight="1" spans="1:18">
      <c r="A251" s="116"/>
      <c r="B251" s="97"/>
      <c r="C251" s="118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</row>
    <row r="252" customHeight="1" spans="1:18">
      <c r="A252" s="116"/>
      <c r="B252" s="97"/>
      <c r="C252" s="118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</row>
    <row r="253" customHeight="1" spans="1:18">
      <c r="A253" s="116"/>
      <c r="B253" s="97"/>
      <c r="C253" s="118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</row>
    <row r="254" customHeight="1" spans="1:18">
      <c r="A254" s="116"/>
      <c r="B254" s="97"/>
      <c r="C254" s="118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</row>
    <row r="255" customHeight="1" spans="1:18">
      <c r="A255" s="116"/>
      <c r="B255" s="97"/>
      <c r="C255" s="118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</row>
    <row r="256" customHeight="1" spans="1:18">
      <c r="A256" s="116"/>
      <c r="B256" s="97"/>
      <c r="C256" s="118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</row>
    <row r="257" customHeight="1" spans="1:18">
      <c r="A257" s="116"/>
      <c r="B257" s="97"/>
      <c r="C257" s="118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</row>
    <row r="258" customHeight="1" spans="1:18">
      <c r="A258" s="116"/>
      <c r="B258" s="97"/>
      <c r="C258" s="118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</row>
    <row r="259" customHeight="1" spans="1:18">
      <c r="A259" s="116"/>
      <c r="B259" s="97"/>
      <c r="C259" s="118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</row>
    <row r="260" customHeight="1" spans="1:18">
      <c r="A260" s="116"/>
      <c r="B260" s="97"/>
      <c r="C260" s="118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</row>
    <row r="261" customHeight="1" spans="1:18">
      <c r="A261" s="116"/>
      <c r="B261" s="97"/>
      <c r="C261" s="118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</row>
    <row r="262" customHeight="1" spans="1:18">
      <c r="A262" s="116"/>
      <c r="B262" s="97"/>
      <c r="C262" s="118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</row>
    <row r="263" customHeight="1" spans="1:18">
      <c r="A263" s="116"/>
      <c r="B263" s="97"/>
      <c r="C263" s="118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</row>
    <row r="264" customHeight="1" spans="1:18">
      <c r="A264" s="116"/>
      <c r="B264" s="97"/>
      <c r="C264" s="118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</row>
    <row r="265" customHeight="1" spans="1:18">
      <c r="A265" s="116"/>
      <c r="B265" s="97"/>
      <c r="C265" s="118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</row>
    <row r="266" customHeight="1" spans="1:18">
      <c r="A266" s="116"/>
      <c r="B266" s="97"/>
      <c r="C266" s="118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</row>
    <row r="267" customHeight="1" spans="1:18">
      <c r="A267" s="116"/>
      <c r="B267" s="97"/>
      <c r="C267" s="118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</row>
    <row r="268" customHeight="1" spans="1:18">
      <c r="A268" s="116"/>
      <c r="B268" s="97"/>
      <c r="C268" s="118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</row>
    <row r="269" customHeight="1" spans="1:18">
      <c r="A269" s="116"/>
      <c r="B269" s="97"/>
      <c r="C269" s="118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</row>
    <row r="270" customHeight="1" spans="1:18">
      <c r="A270" s="116"/>
      <c r="B270" s="97"/>
      <c r="C270" s="118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</row>
    <row r="271" customHeight="1" spans="1:18">
      <c r="A271" s="116"/>
      <c r="B271" s="97"/>
      <c r="C271" s="118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</row>
    <row r="272" customHeight="1" spans="1:18">
      <c r="A272" s="116"/>
      <c r="B272" s="97"/>
      <c r="C272" s="118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</row>
    <row r="273" customHeight="1" spans="1:18">
      <c r="A273" s="116"/>
      <c r="B273" s="97"/>
      <c r="C273" s="118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</row>
    <row r="274" customHeight="1" spans="1:18">
      <c r="A274" s="116"/>
      <c r="B274" s="97"/>
      <c r="C274" s="118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</row>
    <row r="275" customHeight="1" spans="1:18">
      <c r="A275" s="116"/>
      <c r="B275" s="97"/>
      <c r="C275" s="118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</row>
    <row r="276" customHeight="1" spans="1:18">
      <c r="A276" s="116"/>
      <c r="B276" s="97"/>
      <c r="C276" s="118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</row>
    <row r="277" customHeight="1" spans="1:18">
      <c r="A277" s="116"/>
      <c r="B277" s="97"/>
      <c r="C277" s="118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</row>
    <row r="278" customHeight="1" spans="1:18">
      <c r="A278" s="116"/>
      <c r="B278" s="97"/>
      <c r="C278" s="118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</row>
    <row r="279" customHeight="1" spans="1:18">
      <c r="A279" s="116"/>
      <c r="B279" s="97"/>
      <c r="C279" s="118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</row>
    <row r="280" customHeight="1" spans="1:18">
      <c r="A280" s="116"/>
      <c r="B280" s="97"/>
      <c r="C280" s="118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</row>
    <row r="281" customHeight="1" spans="1:18">
      <c r="A281" s="116"/>
      <c r="B281" s="97"/>
      <c r="C281" s="118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</row>
    <row r="282" customHeight="1" spans="1:18">
      <c r="A282" s="116"/>
      <c r="B282" s="97"/>
      <c r="C282" s="118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</row>
    <row r="283" customHeight="1" spans="1:18">
      <c r="A283" s="116"/>
      <c r="B283" s="97"/>
      <c r="C283" s="118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</row>
    <row r="284" customHeight="1" spans="1:18">
      <c r="A284" s="116"/>
      <c r="B284" s="97"/>
      <c r="C284" s="118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</row>
    <row r="285" customHeight="1" spans="1:18">
      <c r="A285" s="116"/>
      <c r="B285" s="97"/>
      <c r="C285" s="118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</row>
    <row r="286" customHeight="1" spans="1:18">
      <c r="A286" s="116"/>
      <c r="B286" s="97"/>
      <c r="C286" s="118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</row>
    <row r="287" customHeight="1" spans="1:18">
      <c r="A287" s="116"/>
      <c r="B287" s="97"/>
      <c r="C287" s="118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</row>
    <row r="288" customHeight="1" spans="1:18">
      <c r="A288" s="116"/>
      <c r="B288" s="97"/>
      <c r="C288" s="118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</row>
    <row r="289" customHeight="1" spans="1:18">
      <c r="A289" s="116"/>
      <c r="B289" s="97"/>
      <c r="C289" s="118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</row>
    <row r="290" customHeight="1" spans="1:18">
      <c r="A290" s="116"/>
      <c r="B290" s="97"/>
      <c r="C290" s="118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</row>
    <row r="291" customHeight="1" spans="1:18">
      <c r="A291" s="116"/>
      <c r="B291" s="97"/>
      <c r="C291" s="118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</row>
    <row r="292" customHeight="1" spans="1:18">
      <c r="A292" s="116"/>
      <c r="B292" s="97"/>
      <c r="C292" s="118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</row>
    <row r="293" customHeight="1" spans="1:18">
      <c r="A293" s="116"/>
      <c r="B293" s="97"/>
      <c r="C293" s="118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</row>
    <row r="294" customHeight="1" spans="1:18">
      <c r="A294" s="116"/>
      <c r="B294" s="97"/>
      <c r="C294" s="118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</row>
    <row r="295" customHeight="1" spans="1:18">
      <c r="A295" s="116"/>
      <c r="B295" s="97"/>
      <c r="C295" s="118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</row>
    <row r="296" customHeight="1" spans="1:18">
      <c r="A296" s="116"/>
      <c r="B296" s="97"/>
      <c r="C296" s="118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</row>
    <row r="297" customHeight="1" spans="1:18">
      <c r="A297" s="116"/>
      <c r="B297" s="97"/>
      <c r="C297" s="118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</row>
    <row r="298" customHeight="1" spans="1:18">
      <c r="A298" s="116"/>
      <c r="B298" s="97"/>
      <c r="C298" s="118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</row>
    <row r="299" customHeight="1" spans="1:18">
      <c r="A299" s="116"/>
      <c r="B299" s="97"/>
      <c r="C299" s="118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</row>
    <row r="300" customHeight="1" spans="1:18">
      <c r="A300" s="116"/>
      <c r="B300" s="97"/>
      <c r="C300" s="118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</row>
    <row r="301" customHeight="1" spans="1:18">
      <c r="A301" s="116"/>
      <c r="B301" s="97"/>
      <c r="C301" s="118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</row>
    <row r="302" customHeight="1" spans="1:18">
      <c r="A302" s="116"/>
      <c r="B302" s="97"/>
      <c r="C302" s="118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</row>
    <row r="303" customHeight="1" spans="1:18">
      <c r="A303" s="116"/>
      <c r="B303" s="97"/>
      <c r="C303" s="118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</row>
    <row r="304" customHeight="1" spans="1:18">
      <c r="A304" s="116"/>
      <c r="B304" s="97"/>
      <c r="C304" s="118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</row>
    <row r="305" customHeight="1" spans="1:18">
      <c r="A305" s="116"/>
      <c r="B305" s="97"/>
      <c r="C305" s="118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</row>
    <row r="306" customHeight="1" spans="1:18">
      <c r="A306" s="116"/>
      <c r="B306" s="97"/>
      <c r="C306" s="118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</row>
    <row r="307" customHeight="1" spans="1:18">
      <c r="A307" s="116"/>
      <c r="B307" s="97"/>
      <c r="C307" s="118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</row>
    <row r="308" customHeight="1" spans="1:18">
      <c r="A308" s="116"/>
      <c r="B308" s="97"/>
      <c r="C308" s="118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</row>
    <row r="309" customHeight="1" spans="1:18">
      <c r="A309" s="116"/>
      <c r="B309" s="97"/>
      <c r="C309" s="118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</row>
    <row r="310" customHeight="1" spans="1:18">
      <c r="A310" s="116"/>
      <c r="B310" s="97"/>
      <c r="C310" s="118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</row>
    <row r="311" customHeight="1" spans="1:18">
      <c r="A311" s="116"/>
      <c r="B311" s="97"/>
      <c r="C311" s="118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</row>
    <row r="312" customHeight="1" spans="1:18">
      <c r="A312" s="116"/>
      <c r="B312" s="97"/>
      <c r="C312" s="118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</row>
    <row r="313" customHeight="1" spans="1:18">
      <c r="A313" s="116"/>
      <c r="B313" s="97"/>
      <c r="C313" s="118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</row>
    <row r="314" customHeight="1" spans="1:18">
      <c r="A314" s="116"/>
      <c r="B314" s="97"/>
      <c r="C314" s="118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</row>
    <row r="315" customHeight="1" spans="1:18">
      <c r="A315" s="116"/>
      <c r="B315" s="97"/>
      <c r="C315" s="118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</row>
    <row r="316" customHeight="1" spans="1:18">
      <c r="A316" s="116"/>
      <c r="B316" s="97"/>
      <c r="C316" s="118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</row>
    <row r="317" customHeight="1" spans="1:18">
      <c r="A317" s="116"/>
      <c r="B317" s="97"/>
      <c r="C317" s="118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</row>
    <row r="318" customHeight="1" spans="1:18">
      <c r="A318" s="116"/>
      <c r="B318" s="97"/>
      <c r="C318" s="118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</row>
    <row r="319" customHeight="1" spans="1:18">
      <c r="A319" s="116"/>
      <c r="B319" s="97"/>
      <c r="C319" s="118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</row>
    <row r="320" customHeight="1" spans="1:18">
      <c r="A320" s="116"/>
      <c r="B320" s="97"/>
      <c r="C320" s="118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</row>
    <row r="321" customHeight="1" spans="1:18">
      <c r="A321" s="116"/>
      <c r="B321" s="97"/>
      <c r="C321" s="118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</row>
    <row r="322" customHeight="1" spans="1:18">
      <c r="A322" s="116"/>
      <c r="B322" s="97"/>
      <c r="C322" s="118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</row>
    <row r="323" customHeight="1" spans="1:18">
      <c r="A323" s="116"/>
      <c r="B323" s="97"/>
      <c r="C323" s="118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</row>
    <row r="324" customHeight="1" spans="1:18">
      <c r="A324" s="116"/>
      <c r="B324" s="97"/>
      <c r="C324" s="118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</row>
    <row r="325" customHeight="1" spans="1:18">
      <c r="A325" s="116"/>
      <c r="B325" s="97"/>
      <c r="C325" s="118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</row>
    <row r="326" customHeight="1" spans="1:18">
      <c r="A326" s="116"/>
      <c r="B326" s="97"/>
      <c r="C326" s="118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</row>
    <row r="327" customHeight="1" spans="1:18">
      <c r="A327" s="116"/>
      <c r="B327" s="97"/>
      <c r="C327" s="118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</row>
    <row r="328" customHeight="1" spans="1:18">
      <c r="A328" s="116"/>
      <c r="B328" s="97"/>
      <c r="C328" s="118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</row>
    <row r="329" customHeight="1" spans="1:18">
      <c r="A329" s="116"/>
      <c r="B329" s="97"/>
      <c r="C329" s="118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</row>
    <row r="330" customHeight="1" spans="1:18">
      <c r="A330" s="116"/>
      <c r="B330" s="97"/>
      <c r="C330" s="118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</row>
    <row r="331" customHeight="1" spans="1:18">
      <c r="A331" s="116"/>
      <c r="B331" s="97"/>
      <c r="C331" s="118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</row>
    <row r="332" customHeight="1" spans="1:18">
      <c r="A332" s="116"/>
      <c r="B332" s="97"/>
      <c r="C332" s="118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</row>
    <row r="333" customHeight="1" spans="1:18">
      <c r="A333" s="116"/>
      <c r="B333" s="97"/>
      <c r="C333" s="118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</row>
    <row r="334" customHeight="1" spans="1:18">
      <c r="A334" s="116"/>
      <c r="B334" s="97"/>
      <c r="C334" s="118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</row>
    <row r="335" customHeight="1" spans="1:18">
      <c r="A335" s="116"/>
      <c r="B335" s="97"/>
      <c r="C335" s="118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</row>
    <row r="336" customHeight="1" spans="1:18">
      <c r="A336" s="116"/>
      <c r="B336" s="97"/>
      <c r="C336" s="118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</row>
    <row r="337" customHeight="1" spans="1:18">
      <c r="A337" s="116"/>
      <c r="B337" s="97"/>
      <c r="C337" s="118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</row>
    <row r="338" customHeight="1" spans="1:18">
      <c r="A338" s="116"/>
      <c r="B338" s="97"/>
      <c r="C338" s="118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</row>
    <row r="339" customHeight="1" spans="1:18">
      <c r="A339" s="116"/>
      <c r="B339" s="97"/>
      <c r="C339" s="118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</row>
    <row r="340" customHeight="1" spans="1:18">
      <c r="A340" s="116"/>
      <c r="B340" s="97"/>
      <c r="C340" s="118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</row>
    <row r="341" customHeight="1" spans="1:18">
      <c r="A341" s="116"/>
      <c r="B341" s="97"/>
      <c r="C341" s="118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</row>
    <row r="342" customHeight="1" spans="1:18">
      <c r="A342" s="116"/>
      <c r="B342" s="97"/>
      <c r="C342" s="118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</row>
    <row r="343" customHeight="1" spans="1:18">
      <c r="A343" s="116"/>
      <c r="B343" s="97"/>
      <c r="C343" s="118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</row>
    <row r="344" customHeight="1" spans="1:18">
      <c r="A344" s="116"/>
      <c r="B344" s="97"/>
      <c r="C344" s="118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</row>
    <row r="345" customHeight="1" spans="1:18">
      <c r="A345" s="116"/>
      <c r="B345" s="97"/>
      <c r="C345" s="118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</row>
    <row r="346" customHeight="1" spans="1:18">
      <c r="A346" s="116"/>
      <c r="B346" s="97"/>
      <c r="C346" s="118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</row>
    <row r="347" customHeight="1" spans="1:18">
      <c r="A347" s="116"/>
      <c r="B347" s="97"/>
      <c r="C347" s="118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</row>
    <row r="348" customHeight="1" spans="1:18">
      <c r="A348" s="116"/>
      <c r="B348" s="97"/>
      <c r="C348" s="118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</row>
    <row r="349" customHeight="1" spans="1:18">
      <c r="A349" s="116"/>
      <c r="B349" s="97"/>
      <c r="C349" s="118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</row>
    <row r="350" customHeight="1" spans="1:18">
      <c r="A350" s="116"/>
      <c r="B350" s="97"/>
      <c r="C350" s="118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</row>
    <row r="351" customHeight="1" spans="1:18">
      <c r="A351" s="116"/>
      <c r="B351" s="97"/>
      <c r="C351" s="118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</row>
    <row r="352" customHeight="1" spans="1:18">
      <c r="A352" s="116"/>
      <c r="B352" s="97"/>
      <c r="C352" s="118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</row>
    <row r="353" customHeight="1" spans="1:18">
      <c r="A353" s="116"/>
      <c r="B353" s="97"/>
      <c r="C353" s="118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</row>
    <row r="354" customHeight="1" spans="1:18">
      <c r="A354" s="116"/>
      <c r="B354" s="97"/>
      <c r="C354" s="118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</row>
    <row r="355" customHeight="1" spans="1:18">
      <c r="A355" s="116"/>
      <c r="B355" s="97"/>
      <c r="C355" s="118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</row>
    <row r="356" customHeight="1" spans="1:18">
      <c r="A356" s="116"/>
      <c r="B356" s="97"/>
      <c r="C356" s="118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</row>
    <row r="357" customHeight="1" spans="1:18">
      <c r="A357" s="116"/>
      <c r="B357" s="97"/>
      <c r="C357" s="118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</row>
    <row r="358" customHeight="1" spans="1:18">
      <c r="A358" s="116"/>
      <c r="B358" s="97"/>
      <c r="C358" s="118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</row>
    <row r="359" customHeight="1" spans="1:18">
      <c r="A359" s="116"/>
      <c r="B359" s="97"/>
      <c r="C359" s="118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</row>
    <row r="360" customHeight="1" spans="1:18">
      <c r="A360" s="116"/>
      <c r="B360" s="97"/>
      <c r="C360" s="118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</row>
    <row r="361" customHeight="1" spans="1:18">
      <c r="A361" s="116"/>
      <c r="B361" s="97"/>
      <c r="C361" s="118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</row>
    <row r="362" customHeight="1" spans="1:18">
      <c r="A362" s="116"/>
      <c r="B362" s="97"/>
      <c r="C362" s="118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</row>
    <row r="363" customHeight="1" spans="1:18">
      <c r="A363" s="116"/>
      <c r="B363" s="97"/>
      <c r="C363" s="118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</row>
    <row r="364" customHeight="1" spans="1:18">
      <c r="A364" s="116"/>
      <c r="B364" s="97"/>
      <c r="C364" s="118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</row>
    <row r="365" customHeight="1" spans="1:18">
      <c r="A365" s="116"/>
      <c r="B365" s="97"/>
      <c r="C365" s="118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</row>
    <row r="366" customHeight="1" spans="1:18">
      <c r="A366" s="116"/>
      <c r="B366" s="97"/>
      <c r="C366" s="118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</row>
    <row r="367" customHeight="1" spans="1:18">
      <c r="A367" s="116"/>
      <c r="B367" s="97"/>
      <c r="C367" s="118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</row>
    <row r="368" customHeight="1" spans="1:18">
      <c r="A368" s="116"/>
      <c r="B368" s="97"/>
      <c r="C368" s="118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</row>
    <row r="369" customHeight="1" spans="1:18">
      <c r="A369" s="116"/>
      <c r="B369" s="97"/>
      <c r="C369" s="118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</row>
    <row r="370" customHeight="1" spans="1:18">
      <c r="A370" s="116"/>
      <c r="B370" s="97"/>
      <c r="C370" s="118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</row>
    <row r="371" customHeight="1" spans="1:18">
      <c r="A371" s="116"/>
      <c r="B371" s="97"/>
      <c r="C371" s="118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</row>
    <row r="372" customHeight="1" spans="1:18">
      <c r="A372" s="116"/>
      <c r="B372" s="97"/>
      <c r="C372" s="118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</row>
    <row r="373" customHeight="1" spans="1:18">
      <c r="A373" s="116"/>
      <c r="B373" s="97"/>
      <c r="C373" s="118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</row>
    <row r="374" customHeight="1" spans="1:18">
      <c r="A374" s="116"/>
      <c r="B374" s="97"/>
      <c r="C374" s="118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</row>
    <row r="375" customHeight="1" spans="1:18">
      <c r="A375" s="116"/>
      <c r="B375" s="97"/>
      <c r="C375" s="118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</row>
    <row r="376" customHeight="1" spans="1:18">
      <c r="A376" s="116"/>
      <c r="B376" s="97"/>
      <c r="C376" s="118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</row>
    <row r="377" customHeight="1" spans="1:18">
      <c r="A377" s="116"/>
      <c r="B377" s="97"/>
      <c r="C377" s="118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</row>
    <row r="378" customHeight="1" spans="1:18">
      <c r="A378" s="116"/>
      <c r="B378" s="97"/>
      <c r="C378" s="118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</row>
    <row r="379" customHeight="1" spans="1:18">
      <c r="A379" s="116"/>
      <c r="B379" s="97"/>
      <c r="C379" s="118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</row>
    <row r="380" customHeight="1" spans="1:18">
      <c r="A380" s="116"/>
      <c r="B380" s="97"/>
      <c r="C380" s="118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</row>
    <row r="381" customHeight="1" spans="1:18">
      <c r="A381" s="116"/>
      <c r="B381" s="97"/>
      <c r="C381" s="118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</row>
    <row r="382" customHeight="1" spans="1:18">
      <c r="A382" s="116"/>
      <c r="B382" s="97"/>
      <c r="C382" s="118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</row>
    <row r="383" customHeight="1" spans="1:18">
      <c r="A383" s="116"/>
      <c r="B383" s="97"/>
      <c r="C383" s="118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</row>
    <row r="384" customHeight="1" spans="1:18">
      <c r="A384" s="116"/>
      <c r="B384" s="97"/>
      <c r="C384" s="118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</row>
    <row r="385" customHeight="1" spans="1:18">
      <c r="A385" s="116"/>
      <c r="B385" s="97"/>
      <c r="C385" s="118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</row>
    <row r="386" customHeight="1" spans="1:18">
      <c r="A386" s="116"/>
      <c r="B386" s="97"/>
      <c r="C386" s="118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</row>
    <row r="387" customHeight="1" spans="1:18">
      <c r="A387" s="116"/>
      <c r="B387" s="97"/>
      <c r="C387" s="118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</row>
    <row r="388" customHeight="1" spans="1:18">
      <c r="A388" s="116"/>
      <c r="B388" s="97"/>
      <c r="C388" s="118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</row>
    <row r="389" customHeight="1" spans="1:18">
      <c r="A389" s="116"/>
      <c r="B389" s="97"/>
      <c r="C389" s="118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</row>
    <row r="390" customHeight="1" spans="1:18">
      <c r="A390" s="116"/>
      <c r="B390" s="97"/>
      <c r="C390" s="118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</row>
    <row r="391" customHeight="1" spans="1:18">
      <c r="A391" s="116"/>
      <c r="B391" s="97"/>
      <c r="C391" s="118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</row>
    <row r="392" customHeight="1" spans="1:18">
      <c r="A392" s="116"/>
      <c r="B392" s="97"/>
      <c r="C392" s="118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</row>
    <row r="393" customHeight="1" spans="1:18">
      <c r="A393" s="116"/>
      <c r="B393" s="97"/>
      <c r="C393" s="118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</row>
    <row r="394" customHeight="1" spans="1:18">
      <c r="A394" s="116"/>
      <c r="B394" s="97"/>
      <c r="C394" s="118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</row>
    <row r="395" customHeight="1" spans="1:18">
      <c r="A395" s="116"/>
      <c r="B395" s="97"/>
      <c r="C395" s="118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</row>
    <row r="396" customHeight="1" spans="1:18">
      <c r="A396" s="116"/>
      <c r="B396" s="97"/>
      <c r="C396" s="118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</row>
    <row r="397" customHeight="1" spans="1:18">
      <c r="A397" s="116"/>
      <c r="B397" s="97"/>
      <c r="C397" s="118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</row>
    <row r="398" customHeight="1" spans="1:18">
      <c r="A398" s="116"/>
      <c r="B398" s="97"/>
      <c r="C398" s="118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</row>
    <row r="399" customHeight="1" spans="1:18">
      <c r="A399" s="116"/>
      <c r="B399" s="97"/>
      <c r="C399" s="118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</row>
    <row r="400" customHeight="1" spans="1:18">
      <c r="A400" s="116"/>
      <c r="B400" s="97"/>
      <c r="C400" s="118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</row>
    <row r="401" customHeight="1" spans="1:18">
      <c r="A401" s="116"/>
      <c r="B401" s="97"/>
      <c r="C401" s="118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</row>
    <row r="402" customHeight="1" spans="1:18">
      <c r="A402" s="116"/>
      <c r="B402" s="97"/>
      <c r="C402" s="118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</row>
    <row r="403" customHeight="1" spans="1:18">
      <c r="A403" s="116"/>
      <c r="B403" s="97"/>
      <c r="C403" s="118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</row>
    <row r="404" customHeight="1" spans="1:18">
      <c r="A404" s="116"/>
      <c r="B404" s="97"/>
      <c r="C404" s="118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</row>
    <row r="405" customHeight="1" spans="1:18">
      <c r="A405" s="116"/>
      <c r="B405" s="97"/>
      <c r="C405" s="118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</row>
    <row r="406" customHeight="1" spans="1:18">
      <c r="A406" s="116"/>
      <c r="B406" s="97"/>
      <c r="C406" s="118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</row>
    <row r="407" customHeight="1" spans="1:18">
      <c r="A407" s="116"/>
      <c r="B407" s="97"/>
      <c r="C407" s="118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</row>
    <row r="408" customHeight="1" spans="1:18">
      <c r="A408" s="116"/>
      <c r="B408" s="97"/>
      <c r="C408" s="118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</row>
    <row r="409" customHeight="1" spans="1:18">
      <c r="A409" s="116"/>
      <c r="B409" s="97"/>
      <c r="C409" s="118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</row>
    <row r="410" customHeight="1" spans="1:18">
      <c r="A410" s="116"/>
      <c r="B410" s="97"/>
      <c r="C410" s="118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</row>
    <row r="411" customHeight="1" spans="1:18">
      <c r="A411" s="116"/>
      <c r="B411" s="97"/>
      <c r="C411" s="118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</row>
    <row r="412" customHeight="1" spans="1:18">
      <c r="A412" s="116"/>
      <c r="B412" s="97"/>
      <c r="C412" s="118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</row>
    <row r="413" customHeight="1" spans="1:18">
      <c r="A413" s="116"/>
      <c r="B413" s="97"/>
      <c r="C413" s="118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</row>
    <row r="414" customHeight="1" spans="1:18">
      <c r="A414" s="116"/>
      <c r="B414" s="97"/>
      <c r="C414" s="118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</row>
    <row r="415" customHeight="1" spans="1:18">
      <c r="A415" s="116"/>
      <c r="B415" s="97"/>
      <c r="C415" s="118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</row>
    <row r="416" customHeight="1" spans="1:18">
      <c r="A416" s="116"/>
      <c r="B416" s="97"/>
      <c r="C416" s="118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</row>
    <row r="417" customHeight="1" spans="1:18">
      <c r="A417" s="116"/>
      <c r="B417" s="97"/>
      <c r="C417" s="118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</row>
    <row r="418" customHeight="1" spans="1:18">
      <c r="A418" s="116"/>
      <c r="B418" s="97"/>
      <c r="C418" s="118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</row>
    <row r="419" customHeight="1" spans="1:18">
      <c r="A419" s="116"/>
      <c r="B419" s="97"/>
      <c r="C419" s="118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</row>
    <row r="420" customHeight="1" spans="1:18">
      <c r="A420" s="116"/>
      <c r="B420" s="97"/>
      <c r="C420" s="118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</row>
    <row r="421" customHeight="1" spans="1:18">
      <c r="A421" s="116"/>
      <c r="B421" s="97"/>
      <c r="C421" s="118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</row>
    <row r="422" customHeight="1" spans="1:18">
      <c r="A422" s="116"/>
      <c r="B422" s="97"/>
      <c r="C422" s="118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</row>
    <row r="423" customHeight="1" spans="1:18">
      <c r="A423" s="116"/>
      <c r="B423" s="97"/>
      <c r="C423" s="118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</row>
    <row r="424" customHeight="1" spans="1:18">
      <c r="A424" s="116"/>
      <c r="B424" s="97"/>
      <c r="C424" s="118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</row>
    <row r="425" customHeight="1" spans="1:18">
      <c r="A425" s="116"/>
      <c r="B425" s="97"/>
      <c r="C425" s="118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</row>
    <row r="426" customHeight="1" spans="1:18">
      <c r="A426" s="116"/>
      <c r="B426" s="97"/>
      <c r="C426" s="118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</row>
    <row r="427" customHeight="1" spans="1:18">
      <c r="A427" s="116"/>
      <c r="B427" s="97"/>
      <c r="C427" s="118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</row>
    <row r="428" customHeight="1" spans="1:18">
      <c r="A428" s="116"/>
      <c r="B428" s="97"/>
      <c r="C428" s="118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</row>
    <row r="429" customHeight="1" spans="1:18">
      <c r="A429" s="116"/>
      <c r="B429" s="97"/>
      <c r="C429" s="118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</row>
    <row r="430" customHeight="1" spans="1:18">
      <c r="A430" s="116"/>
      <c r="B430" s="97"/>
      <c r="C430" s="118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</row>
    <row r="431" customHeight="1" spans="1:18">
      <c r="A431" s="116"/>
      <c r="B431" s="97"/>
      <c r="C431" s="118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</row>
    <row r="432" customHeight="1" spans="1:18">
      <c r="A432" s="116"/>
      <c r="B432" s="97"/>
      <c r="C432" s="118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</row>
    <row r="433" customHeight="1" spans="1:18">
      <c r="A433" s="116"/>
      <c r="B433" s="97"/>
      <c r="C433" s="118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</row>
    <row r="434" customHeight="1" spans="1:18">
      <c r="A434" s="116"/>
      <c r="B434" s="97"/>
      <c r="C434" s="118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</row>
    <row r="435" customHeight="1" spans="1:18">
      <c r="A435" s="116"/>
      <c r="B435" s="97"/>
      <c r="C435" s="118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</row>
    <row r="436" customHeight="1" spans="1:18">
      <c r="A436" s="116"/>
      <c r="B436" s="97"/>
      <c r="C436" s="118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</row>
    <row r="437" customHeight="1" spans="1:18">
      <c r="A437" s="116"/>
      <c r="B437" s="97"/>
      <c r="C437" s="118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</row>
    <row r="438" customHeight="1" spans="1:18">
      <c r="A438" s="116"/>
      <c r="B438" s="97"/>
      <c r="C438" s="118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</row>
    <row r="439" customHeight="1" spans="1:18">
      <c r="A439" s="116"/>
      <c r="B439" s="97"/>
      <c r="C439" s="118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</row>
    <row r="440" customHeight="1" spans="1:18">
      <c r="A440" s="116"/>
      <c r="B440" s="97"/>
      <c r="C440" s="118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</row>
    <row r="441" customHeight="1" spans="1:18">
      <c r="A441" s="116"/>
      <c r="B441" s="97"/>
      <c r="C441" s="118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</row>
    <row r="442" customHeight="1" spans="1:18">
      <c r="A442" s="116"/>
      <c r="B442" s="97"/>
      <c r="C442" s="118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</row>
    <row r="443" customHeight="1" spans="1:18">
      <c r="A443" s="116"/>
      <c r="B443" s="97"/>
      <c r="C443" s="118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</row>
    <row r="444" customHeight="1" spans="1:18">
      <c r="A444" s="116"/>
      <c r="B444" s="97"/>
      <c r="C444" s="118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</row>
    <row r="445" customHeight="1" spans="1:18">
      <c r="A445" s="116"/>
      <c r="B445" s="97"/>
      <c r="C445" s="118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</row>
    <row r="446" customHeight="1" spans="1:18">
      <c r="A446" s="116"/>
      <c r="B446" s="97"/>
      <c r="C446" s="118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</row>
    <row r="447" customHeight="1" spans="1:18">
      <c r="A447" s="116"/>
      <c r="B447" s="97"/>
      <c r="C447" s="118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</row>
    <row r="448" customHeight="1" spans="1:18">
      <c r="A448" s="116"/>
      <c r="B448" s="97"/>
      <c r="C448" s="118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</row>
    <row r="449" customHeight="1" spans="1:18">
      <c r="A449" s="116"/>
      <c r="B449" s="97"/>
      <c r="C449" s="118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</row>
    <row r="450" customHeight="1" spans="1:18">
      <c r="A450" s="116"/>
      <c r="B450" s="97"/>
      <c r="C450" s="118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</row>
    <row r="451" customHeight="1" spans="1:18">
      <c r="A451" s="116"/>
      <c r="B451" s="97"/>
      <c r="C451" s="118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</row>
    <row r="452" customHeight="1" spans="1:18">
      <c r="A452" s="116"/>
      <c r="B452" s="97"/>
      <c r="C452" s="118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</row>
    <row r="453" customHeight="1" spans="1:18">
      <c r="A453" s="116"/>
      <c r="B453" s="97"/>
      <c r="C453" s="118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</row>
    <row r="454" customHeight="1" spans="1:18">
      <c r="A454" s="116"/>
      <c r="B454" s="97"/>
      <c r="C454" s="118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</row>
    <row r="455" customHeight="1" spans="1:18">
      <c r="A455" s="116"/>
      <c r="B455" s="97"/>
      <c r="C455" s="118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</row>
    <row r="456" customHeight="1" spans="1:18">
      <c r="A456" s="116"/>
      <c r="B456" s="97"/>
      <c r="C456" s="118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</row>
    <row r="457" customHeight="1" spans="1:18">
      <c r="A457" s="116"/>
      <c r="B457" s="97"/>
      <c r="C457" s="118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</row>
    <row r="458" customHeight="1" spans="1:18">
      <c r="A458" s="116"/>
      <c r="B458" s="97"/>
      <c r="C458" s="118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</row>
    <row r="459" customHeight="1" spans="1:18">
      <c r="A459" s="116"/>
      <c r="B459" s="97"/>
      <c r="C459" s="118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</row>
    <row r="460" customHeight="1" spans="1:18">
      <c r="A460" s="116"/>
      <c r="B460" s="97"/>
      <c r="C460" s="118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</row>
    <row r="461" customHeight="1" spans="1:18">
      <c r="A461" s="116"/>
      <c r="B461" s="97"/>
      <c r="C461" s="118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</row>
    <row r="462" customHeight="1" spans="1:18">
      <c r="A462" s="116"/>
      <c r="B462" s="97"/>
      <c r="C462" s="118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</row>
    <row r="463" customHeight="1" spans="1:18">
      <c r="A463" s="116"/>
      <c r="B463" s="97"/>
      <c r="C463" s="118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</row>
    <row r="464" customHeight="1" spans="1:18">
      <c r="A464" s="116"/>
      <c r="B464" s="97"/>
      <c r="C464" s="118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</row>
    <row r="465" customHeight="1" spans="1:18">
      <c r="A465" s="116"/>
      <c r="B465" s="97"/>
      <c r="C465" s="118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</row>
    <row r="466" customHeight="1" spans="1:18">
      <c r="A466" s="116"/>
      <c r="B466" s="97"/>
      <c r="C466" s="118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</row>
    <row r="467" customHeight="1" spans="1:18">
      <c r="A467" s="116"/>
      <c r="B467" s="97"/>
      <c r="C467" s="118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</row>
    <row r="468" customHeight="1" spans="1:18">
      <c r="A468" s="116"/>
      <c r="B468" s="97"/>
      <c r="C468" s="118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</row>
    <row r="469" customHeight="1" spans="1:18">
      <c r="A469" s="116"/>
      <c r="B469" s="97"/>
      <c r="C469" s="118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</row>
    <row r="470" customHeight="1" spans="1:18">
      <c r="A470" s="116"/>
      <c r="B470" s="97"/>
      <c r="C470" s="118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</row>
    <row r="471" customHeight="1" spans="1:18">
      <c r="A471" s="116"/>
      <c r="B471" s="97"/>
      <c r="C471" s="118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</row>
    <row r="472" customHeight="1" spans="1:18">
      <c r="A472" s="116"/>
      <c r="B472" s="97"/>
      <c r="C472" s="118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</row>
    <row r="473" customHeight="1" spans="1:18">
      <c r="A473" s="116"/>
      <c r="B473" s="97"/>
      <c r="C473" s="118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</row>
    <row r="474" customHeight="1" spans="1:18">
      <c r="A474" s="116"/>
      <c r="B474" s="97"/>
      <c r="C474" s="118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</row>
    <row r="475" customHeight="1" spans="1:18">
      <c r="A475" s="116"/>
      <c r="B475" s="97"/>
      <c r="C475" s="118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</row>
    <row r="476" customHeight="1" spans="1:18">
      <c r="A476" s="116"/>
      <c r="B476" s="97"/>
      <c r="C476" s="118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</row>
    <row r="477" customHeight="1" spans="1:18">
      <c r="A477" s="116"/>
      <c r="B477" s="97"/>
      <c r="C477" s="118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</row>
    <row r="478" customHeight="1" spans="1:18">
      <c r="A478" s="116"/>
      <c r="B478" s="97"/>
      <c r="C478" s="118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</row>
    <row r="479" customHeight="1" spans="1:18">
      <c r="A479" s="116"/>
      <c r="B479" s="97"/>
      <c r="C479" s="118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</row>
    <row r="480" customHeight="1" spans="1:18">
      <c r="A480" s="116"/>
      <c r="B480" s="97"/>
      <c r="C480" s="118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</row>
    <row r="481" customHeight="1" spans="1:18">
      <c r="A481" s="116"/>
      <c r="B481" s="97"/>
      <c r="C481" s="118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</row>
    <row r="482" customHeight="1" spans="1:18">
      <c r="A482" s="116"/>
      <c r="B482" s="97"/>
      <c r="C482" s="118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</row>
    <row r="483" customHeight="1" spans="1:18">
      <c r="A483" s="116"/>
      <c r="B483" s="97"/>
      <c r="C483" s="118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</row>
    <row r="484" customHeight="1" spans="1:18">
      <c r="A484" s="116"/>
      <c r="B484" s="97"/>
      <c r="C484" s="118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</row>
    <row r="485" customHeight="1" spans="1:18">
      <c r="A485" s="116"/>
      <c r="B485" s="97"/>
      <c r="C485" s="118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</row>
    <row r="486" customHeight="1" spans="1:18">
      <c r="A486" s="116"/>
      <c r="B486" s="97"/>
      <c r="C486" s="118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</row>
    <row r="487" customHeight="1" spans="1:18">
      <c r="A487" s="116"/>
      <c r="B487" s="97"/>
      <c r="C487" s="118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</row>
    <row r="488" customHeight="1" spans="1:18">
      <c r="A488" s="116"/>
      <c r="B488" s="97"/>
      <c r="C488" s="118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</row>
    <row r="489" customHeight="1" spans="1:18">
      <c r="A489" s="116"/>
      <c r="B489" s="97"/>
      <c r="C489" s="118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</row>
    <row r="490" customHeight="1" spans="1:18">
      <c r="A490" s="116"/>
      <c r="B490" s="97"/>
      <c r="C490" s="118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</row>
    <row r="491" customHeight="1" spans="1:18">
      <c r="A491" s="116"/>
      <c r="B491" s="97"/>
      <c r="C491" s="118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</row>
    <row r="492" customHeight="1" spans="1:18">
      <c r="A492" s="116"/>
      <c r="B492" s="97"/>
      <c r="C492" s="118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</row>
    <row r="493" customHeight="1" spans="1:18">
      <c r="A493" s="116"/>
      <c r="B493" s="97"/>
      <c r="C493" s="118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</row>
    <row r="494" customHeight="1" spans="1:18">
      <c r="A494" s="116"/>
      <c r="B494" s="97"/>
      <c r="C494" s="118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</row>
    <row r="495" customHeight="1" spans="1:18">
      <c r="A495" s="116"/>
      <c r="B495" s="97"/>
      <c r="C495" s="118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</row>
    <row r="496" customHeight="1" spans="1:18">
      <c r="A496" s="116"/>
      <c r="B496" s="97"/>
      <c r="C496" s="118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</row>
    <row r="497" customHeight="1" spans="1:18">
      <c r="A497" s="116"/>
      <c r="B497" s="97"/>
      <c r="C497" s="118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</row>
    <row r="498" customHeight="1" spans="1:18">
      <c r="A498" s="116"/>
      <c r="B498" s="97"/>
      <c r="C498" s="118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</row>
    <row r="499" customHeight="1" spans="1:18">
      <c r="A499" s="116"/>
      <c r="B499" s="97"/>
      <c r="C499" s="118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</row>
    <row r="500" customHeight="1" spans="1:18">
      <c r="A500" s="116"/>
      <c r="B500" s="97"/>
      <c r="C500" s="118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</row>
    <row r="501" customHeight="1" spans="1:18">
      <c r="A501" s="116"/>
      <c r="B501" s="97"/>
      <c r="C501" s="118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</row>
    <row r="502" customHeight="1" spans="1:18">
      <c r="A502" s="116"/>
      <c r="B502" s="97"/>
      <c r="C502" s="118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</row>
    <row r="503" customHeight="1" spans="1:18">
      <c r="A503" s="116"/>
      <c r="B503" s="97"/>
      <c r="C503" s="118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</row>
    <row r="504" customHeight="1" spans="1:18">
      <c r="A504" s="116"/>
      <c r="B504" s="97"/>
      <c r="C504" s="118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</row>
    <row r="505" customHeight="1" spans="1:18">
      <c r="A505" s="116"/>
      <c r="B505" s="97"/>
      <c r="C505" s="118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</row>
    <row r="506" customHeight="1" spans="1:18">
      <c r="A506" s="116"/>
      <c r="B506" s="97"/>
      <c r="C506" s="118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</row>
    <row r="507" customHeight="1" spans="1:18">
      <c r="A507" s="116"/>
      <c r="B507" s="97"/>
      <c r="C507" s="118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</row>
    <row r="508" customHeight="1" spans="1:18">
      <c r="A508" s="116"/>
      <c r="B508" s="97"/>
      <c r="C508" s="118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</row>
    <row r="509" customHeight="1" spans="1:18">
      <c r="A509" s="116"/>
      <c r="B509" s="97"/>
      <c r="C509" s="118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</row>
    <row r="510" customHeight="1" spans="1:18">
      <c r="A510" s="116"/>
      <c r="B510" s="97"/>
      <c r="C510" s="118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</row>
    <row r="511" customHeight="1" spans="1:18">
      <c r="A511" s="116"/>
      <c r="B511" s="97"/>
      <c r="C511" s="118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</row>
    <row r="512" customHeight="1" spans="1:18">
      <c r="A512" s="116"/>
      <c r="B512" s="97"/>
      <c r="C512" s="118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</row>
    <row r="513" customHeight="1" spans="1:18">
      <c r="A513" s="116"/>
      <c r="B513" s="97"/>
      <c r="C513" s="118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</row>
    <row r="514" customHeight="1" spans="1:18">
      <c r="A514" s="116"/>
      <c r="B514" s="97"/>
      <c r="C514" s="118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</row>
    <row r="515" customHeight="1" spans="1:18">
      <c r="A515" s="116"/>
      <c r="B515" s="97"/>
      <c r="C515" s="118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</row>
    <row r="516" customHeight="1" spans="1:18">
      <c r="A516" s="116"/>
      <c r="B516" s="97"/>
      <c r="C516" s="118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</row>
    <row r="517" customHeight="1" spans="1:18">
      <c r="A517" s="116"/>
      <c r="B517" s="97"/>
      <c r="C517" s="118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</row>
    <row r="518" customHeight="1" spans="1:18">
      <c r="A518" s="116"/>
      <c r="B518" s="97"/>
      <c r="C518" s="118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</row>
    <row r="519" customHeight="1" spans="1:18">
      <c r="A519" s="116"/>
      <c r="B519" s="97"/>
      <c r="C519" s="118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</row>
    <row r="520" customHeight="1" spans="1:18">
      <c r="A520" s="116"/>
      <c r="B520" s="97"/>
      <c r="C520" s="118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</row>
    <row r="521" customHeight="1" spans="1:18">
      <c r="A521" s="116"/>
      <c r="B521" s="97"/>
      <c r="C521" s="118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</row>
    <row r="522" customHeight="1" spans="1:18">
      <c r="A522" s="116"/>
      <c r="B522" s="97"/>
      <c r="C522" s="118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</row>
    <row r="523" customHeight="1" spans="1:18">
      <c r="A523" s="116"/>
      <c r="B523" s="97"/>
      <c r="C523" s="118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</row>
    <row r="524" customHeight="1" spans="1:18">
      <c r="A524" s="116"/>
      <c r="B524" s="97"/>
      <c r="C524" s="118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</row>
    <row r="525" customHeight="1" spans="1:18">
      <c r="A525" s="116"/>
      <c r="B525" s="97"/>
      <c r="C525" s="118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</row>
    <row r="526" customHeight="1" spans="1:18">
      <c r="A526" s="116"/>
      <c r="B526" s="97"/>
      <c r="C526" s="118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</row>
    <row r="527" customHeight="1" spans="1:18">
      <c r="A527" s="116"/>
      <c r="B527" s="97"/>
      <c r="C527" s="118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</row>
    <row r="528" customHeight="1" spans="1:18">
      <c r="A528" s="116"/>
      <c r="B528" s="97"/>
      <c r="C528" s="118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</row>
    <row r="529" customHeight="1" spans="1:18">
      <c r="A529" s="116"/>
      <c r="B529" s="97"/>
      <c r="C529" s="118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</row>
    <row r="530" customHeight="1" spans="1:18">
      <c r="A530" s="116"/>
      <c r="B530" s="97"/>
      <c r="C530" s="118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</row>
    <row r="531" customHeight="1" spans="1:18">
      <c r="A531" s="116"/>
      <c r="B531" s="97"/>
      <c r="C531" s="118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</row>
    <row r="532" customHeight="1" spans="1:18">
      <c r="A532" s="116"/>
      <c r="B532" s="97"/>
      <c r="C532" s="118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</row>
    <row r="533" customHeight="1" spans="1:18">
      <c r="A533" s="116"/>
      <c r="B533" s="97"/>
      <c r="C533" s="118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</row>
    <row r="534" customHeight="1" spans="1:18">
      <c r="A534" s="116"/>
      <c r="B534" s="97"/>
      <c r="C534" s="118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</row>
    <row r="535" customHeight="1" spans="1:18">
      <c r="A535" s="116"/>
      <c r="B535" s="97"/>
      <c r="C535" s="118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</row>
    <row r="536" customHeight="1" spans="1:18">
      <c r="A536" s="116"/>
      <c r="B536" s="97"/>
      <c r="C536" s="118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</row>
    <row r="537" customHeight="1" spans="1:18">
      <c r="A537" s="116"/>
      <c r="B537" s="97"/>
      <c r="C537" s="118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</row>
    <row r="538" customHeight="1" spans="1:18">
      <c r="A538" s="116"/>
      <c r="B538" s="97"/>
      <c r="C538" s="118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</row>
    <row r="539" customHeight="1" spans="1:18">
      <c r="A539" s="116"/>
      <c r="B539" s="97"/>
      <c r="C539" s="118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</row>
    <row r="540" customHeight="1" spans="1:18">
      <c r="A540" s="116"/>
      <c r="B540" s="97"/>
      <c r="C540" s="118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</row>
    <row r="541" customHeight="1" spans="1:18">
      <c r="A541" s="116"/>
      <c r="B541" s="97"/>
      <c r="C541" s="118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</row>
    <row r="542" customHeight="1" spans="1:18">
      <c r="A542" s="116"/>
      <c r="B542" s="97"/>
      <c r="C542" s="118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</row>
    <row r="543" customHeight="1" spans="1:18">
      <c r="A543" s="116"/>
      <c r="B543" s="97"/>
      <c r="C543" s="118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</row>
    <row r="544" customHeight="1" spans="1:18">
      <c r="A544" s="116"/>
      <c r="B544" s="97"/>
      <c r="C544" s="118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</row>
    <row r="545" customHeight="1" spans="1:18">
      <c r="A545" s="116"/>
      <c r="B545" s="97"/>
      <c r="C545" s="118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</row>
    <row r="546" customHeight="1" spans="1:18">
      <c r="A546" s="116"/>
      <c r="B546" s="97"/>
      <c r="C546" s="118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</row>
    <row r="547" customHeight="1" spans="1:18">
      <c r="A547" s="116"/>
      <c r="B547" s="97"/>
      <c r="C547" s="118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</row>
    <row r="548" customHeight="1" spans="1:18">
      <c r="A548" s="116"/>
      <c r="B548" s="97"/>
      <c r="C548" s="118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</row>
    <row r="549" customHeight="1" spans="1:18">
      <c r="A549" s="116"/>
      <c r="B549" s="97"/>
      <c r="C549" s="118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</row>
    <row r="550" customHeight="1" spans="1:18">
      <c r="A550" s="116"/>
      <c r="B550" s="97"/>
      <c r="C550" s="118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</row>
    <row r="551" customHeight="1" spans="1:18">
      <c r="A551" s="116"/>
      <c r="B551" s="97"/>
      <c r="C551" s="118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</row>
    <row r="552" customHeight="1" spans="1:18">
      <c r="A552" s="116"/>
      <c r="B552" s="97"/>
      <c r="C552" s="118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</row>
    <row r="553" customHeight="1" spans="1:18">
      <c r="A553" s="116"/>
      <c r="B553" s="97"/>
      <c r="C553" s="118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</row>
    <row r="554" customHeight="1" spans="1:18">
      <c r="A554" s="116"/>
      <c r="B554" s="97"/>
      <c r="C554" s="118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</row>
    <row r="555" customHeight="1" spans="1:18">
      <c r="A555" s="116"/>
      <c r="B555" s="97"/>
      <c r="C555" s="118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</row>
    <row r="556" customHeight="1" spans="1:18">
      <c r="A556" s="116"/>
      <c r="B556" s="97"/>
      <c r="C556" s="118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</row>
    <row r="557" customHeight="1" spans="1:18">
      <c r="A557" s="116"/>
      <c r="B557" s="97"/>
      <c r="C557" s="118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</row>
    <row r="558" customHeight="1" spans="1:18">
      <c r="A558" s="116"/>
      <c r="B558" s="97"/>
      <c r="C558" s="118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</row>
    <row r="559" customHeight="1" spans="1:18">
      <c r="A559" s="116"/>
      <c r="B559" s="97"/>
      <c r="C559" s="118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</row>
    <row r="560" customHeight="1" spans="1:18">
      <c r="A560" s="116"/>
      <c r="B560" s="97"/>
      <c r="C560" s="118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</row>
    <row r="561" customHeight="1" spans="1:18">
      <c r="A561" s="116"/>
      <c r="B561" s="97"/>
      <c r="C561" s="118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</row>
    <row r="562" customHeight="1" spans="1:18">
      <c r="A562" s="116"/>
      <c r="B562" s="97"/>
      <c r="C562" s="118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</row>
    <row r="563" customHeight="1" spans="1:18">
      <c r="A563" s="116"/>
      <c r="B563" s="97"/>
      <c r="C563" s="118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</row>
    <row r="564" customHeight="1" spans="1:18">
      <c r="A564" s="116"/>
      <c r="B564" s="97"/>
      <c r="C564" s="118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</row>
    <row r="565" customHeight="1" spans="1:18">
      <c r="A565" s="116"/>
      <c r="B565" s="97"/>
      <c r="C565" s="118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</row>
    <row r="566" customHeight="1" spans="1:18">
      <c r="A566" s="116"/>
      <c r="B566" s="97"/>
      <c r="C566" s="118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</row>
    <row r="567" customHeight="1" spans="1:18">
      <c r="A567" s="116"/>
      <c r="B567" s="97"/>
      <c r="C567" s="118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</row>
    <row r="568" customHeight="1" spans="1:18">
      <c r="A568" s="116"/>
      <c r="B568" s="97"/>
      <c r="C568" s="118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</row>
    <row r="569" customHeight="1" spans="1:18">
      <c r="A569" s="116"/>
      <c r="B569" s="97"/>
      <c r="C569" s="118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</row>
    <row r="570" customHeight="1" spans="1:18">
      <c r="A570" s="116"/>
      <c r="B570" s="97"/>
      <c r="C570" s="118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</row>
    <row r="571" customHeight="1" spans="1:18">
      <c r="A571" s="116"/>
      <c r="B571" s="97"/>
      <c r="C571" s="118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</row>
    <row r="572" customHeight="1" spans="1:18">
      <c r="A572" s="116"/>
      <c r="B572" s="97"/>
      <c r="C572" s="118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</row>
    <row r="573" customHeight="1" spans="1:18">
      <c r="A573" s="116"/>
      <c r="B573" s="97"/>
      <c r="C573" s="118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</row>
    <row r="574" customHeight="1" spans="1:18">
      <c r="A574" s="116"/>
      <c r="B574" s="97"/>
      <c r="C574" s="118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</row>
    <row r="575" customHeight="1" spans="1:18">
      <c r="A575" s="116"/>
      <c r="B575" s="97"/>
      <c r="C575" s="118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</row>
    <row r="576" customHeight="1" spans="1:18">
      <c r="A576" s="116"/>
      <c r="B576" s="97"/>
      <c r="C576" s="118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</row>
    <row r="577" customHeight="1" spans="1:18">
      <c r="A577" s="116"/>
      <c r="B577" s="97"/>
      <c r="C577" s="118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</row>
    <row r="578" customHeight="1" spans="1:18">
      <c r="A578" s="116"/>
      <c r="B578" s="97"/>
      <c r="C578" s="118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</row>
    <row r="579" customHeight="1" spans="1:18">
      <c r="A579" s="116"/>
      <c r="B579" s="97"/>
      <c r="C579" s="118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</row>
    <row r="580" customHeight="1" spans="1:18">
      <c r="A580" s="116"/>
      <c r="B580" s="97"/>
      <c r="C580" s="118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</row>
    <row r="581" customHeight="1" spans="1:18">
      <c r="A581" s="116"/>
      <c r="B581" s="97"/>
      <c r="C581" s="118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</row>
    <row r="582" customHeight="1" spans="1:18">
      <c r="A582" s="116"/>
      <c r="B582" s="97"/>
      <c r="C582" s="118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</row>
    <row r="583" customHeight="1" spans="1:18">
      <c r="A583" s="116"/>
      <c r="B583" s="97"/>
      <c r="C583" s="118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</row>
    <row r="584" customHeight="1" spans="1:18">
      <c r="A584" s="116"/>
      <c r="B584" s="97"/>
      <c r="C584" s="118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</row>
    <row r="585" customHeight="1" spans="1:18">
      <c r="A585" s="116"/>
      <c r="B585" s="97"/>
      <c r="C585" s="118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</row>
    <row r="586" customHeight="1" spans="1:18">
      <c r="A586" s="116"/>
      <c r="B586" s="97"/>
      <c r="C586" s="118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</row>
    <row r="587" customHeight="1" spans="1:18">
      <c r="A587" s="116"/>
      <c r="B587" s="97"/>
      <c r="C587" s="118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</row>
    <row r="588" customHeight="1" spans="1:18">
      <c r="A588" s="116"/>
      <c r="B588" s="97"/>
      <c r="C588" s="118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</row>
    <row r="589" customHeight="1" spans="1:18">
      <c r="A589" s="116"/>
      <c r="B589" s="97"/>
      <c r="C589" s="118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</row>
    <row r="590" customHeight="1" spans="1:18">
      <c r="A590" s="116"/>
      <c r="B590" s="97"/>
      <c r="C590" s="118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</row>
    <row r="591" customHeight="1" spans="1:18">
      <c r="A591" s="116"/>
      <c r="B591" s="97"/>
      <c r="C591" s="118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</row>
    <row r="592" customHeight="1" spans="1:18">
      <c r="A592" s="116"/>
      <c r="B592" s="97"/>
      <c r="C592" s="118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</row>
    <row r="593" customHeight="1" spans="1:18">
      <c r="A593" s="116"/>
      <c r="B593" s="97"/>
      <c r="C593" s="118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</row>
    <row r="594" customHeight="1" spans="1:18">
      <c r="A594" s="116"/>
      <c r="B594" s="97"/>
      <c r="C594" s="118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</row>
    <row r="595" customHeight="1" spans="1:18">
      <c r="A595" s="116"/>
      <c r="B595" s="97"/>
      <c r="C595" s="118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</row>
    <row r="596" customHeight="1" spans="1:18">
      <c r="A596" s="116"/>
      <c r="B596" s="97"/>
      <c r="C596" s="118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</row>
    <row r="597" customHeight="1" spans="1:18">
      <c r="A597" s="116"/>
      <c r="B597" s="97"/>
      <c r="C597" s="118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</row>
    <row r="598" customHeight="1" spans="1:18">
      <c r="A598" s="116"/>
      <c r="B598" s="97"/>
      <c r="C598" s="118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</row>
    <row r="599" customHeight="1" spans="1:18">
      <c r="A599" s="116"/>
      <c r="B599" s="97"/>
      <c r="C599" s="118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</row>
    <row r="600" customHeight="1" spans="1:18">
      <c r="A600" s="116"/>
      <c r="B600" s="97"/>
      <c r="C600" s="118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</row>
    <row r="601" customHeight="1" spans="1:18">
      <c r="A601" s="116"/>
      <c r="B601" s="97"/>
      <c r="C601" s="118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</row>
    <row r="602" customHeight="1" spans="1:18">
      <c r="A602" s="116"/>
      <c r="B602" s="97"/>
      <c r="C602" s="118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</row>
    <row r="603" customHeight="1" spans="1:18">
      <c r="A603" s="116"/>
      <c r="B603" s="97"/>
      <c r="C603" s="118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</row>
    <row r="604" customHeight="1" spans="1:18">
      <c r="A604" s="116"/>
      <c r="B604" s="97"/>
      <c r="C604" s="118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</row>
    <row r="605" customHeight="1" spans="1:18">
      <c r="A605" s="116"/>
      <c r="B605" s="97"/>
      <c r="C605" s="118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</row>
    <row r="606" customHeight="1" spans="1:18">
      <c r="A606" s="116"/>
      <c r="B606" s="97"/>
      <c r="C606" s="118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</row>
    <row r="607" customHeight="1" spans="1:18">
      <c r="A607" s="116"/>
      <c r="B607" s="97"/>
      <c r="C607" s="118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</row>
    <row r="608" customHeight="1" spans="1:18">
      <c r="A608" s="116"/>
      <c r="B608" s="97"/>
      <c r="C608" s="118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</row>
    <row r="609" customHeight="1" spans="1:18">
      <c r="A609" s="116"/>
      <c r="B609" s="97"/>
      <c r="C609" s="118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</row>
    <row r="610" customHeight="1" spans="1:18">
      <c r="A610" s="116"/>
      <c r="B610" s="97"/>
      <c r="C610" s="118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</row>
    <row r="611" customHeight="1" spans="1:18">
      <c r="A611" s="116"/>
      <c r="B611" s="97"/>
      <c r="C611" s="118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</row>
    <row r="612" customHeight="1" spans="1:18">
      <c r="A612" s="116"/>
      <c r="B612" s="97"/>
      <c r="C612" s="118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</row>
    <row r="613" customHeight="1" spans="1:18">
      <c r="A613" s="116"/>
      <c r="B613" s="97"/>
      <c r="C613" s="118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</row>
    <row r="614" customHeight="1" spans="1:18">
      <c r="A614" s="116"/>
      <c r="B614" s="97"/>
      <c r="C614" s="118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</row>
    <row r="615" customHeight="1" spans="1:18">
      <c r="A615" s="116"/>
      <c r="B615" s="97"/>
      <c r="C615" s="118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</row>
    <row r="616" customHeight="1" spans="1:18">
      <c r="A616" s="116"/>
      <c r="B616" s="97"/>
      <c r="C616" s="118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</row>
    <row r="617" customHeight="1" spans="1:18">
      <c r="A617" s="116"/>
      <c r="B617" s="97"/>
      <c r="C617" s="118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</row>
    <row r="618" customHeight="1" spans="1:18">
      <c r="A618" s="116"/>
      <c r="B618" s="97"/>
      <c r="C618" s="118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</row>
    <row r="619" customHeight="1" spans="1:18">
      <c r="A619" s="116"/>
      <c r="B619" s="97"/>
      <c r="C619" s="118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</row>
    <row r="620" customHeight="1" spans="1:18">
      <c r="A620" s="116"/>
      <c r="B620" s="97"/>
      <c r="C620" s="118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</row>
    <row r="621" customHeight="1" spans="1:18">
      <c r="A621" s="116"/>
      <c r="B621" s="97"/>
      <c r="C621" s="118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</row>
    <row r="622" customHeight="1" spans="1:18">
      <c r="A622" s="116"/>
      <c r="B622" s="97"/>
      <c r="C622" s="118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</row>
    <row r="623" customHeight="1" spans="1:18">
      <c r="A623" s="116"/>
      <c r="B623" s="97"/>
      <c r="C623" s="118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</row>
    <row r="624" customHeight="1" spans="1:18">
      <c r="A624" s="116"/>
      <c r="B624" s="97"/>
      <c r="C624" s="118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</row>
    <row r="625" customHeight="1" spans="1:18">
      <c r="A625" s="116"/>
      <c r="B625" s="97"/>
      <c r="C625" s="118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</row>
    <row r="626" customHeight="1" spans="1:18">
      <c r="A626" s="116"/>
      <c r="B626" s="97"/>
      <c r="C626" s="118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</row>
    <row r="627" customHeight="1" spans="1:18">
      <c r="A627" s="116"/>
      <c r="B627" s="97"/>
      <c r="C627" s="118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</row>
    <row r="628" customHeight="1" spans="1:18">
      <c r="A628" s="116"/>
      <c r="B628" s="97"/>
      <c r="C628" s="118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</row>
    <row r="629" customHeight="1" spans="1:18">
      <c r="A629" s="116"/>
      <c r="B629" s="97"/>
      <c r="C629" s="118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</row>
    <row r="630" customHeight="1" spans="1:18">
      <c r="A630" s="116"/>
      <c r="B630" s="97"/>
      <c r="C630" s="118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</row>
    <row r="631" customHeight="1" spans="1:18">
      <c r="A631" s="116"/>
      <c r="B631" s="97"/>
      <c r="C631" s="118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</row>
    <row r="632" customHeight="1" spans="1:18">
      <c r="A632" s="116"/>
      <c r="B632" s="97"/>
      <c r="C632" s="118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</row>
    <row r="633" customHeight="1" spans="1:18">
      <c r="A633" s="116"/>
      <c r="B633" s="97"/>
      <c r="C633" s="118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</row>
    <row r="634" customHeight="1" spans="1:18">
      <c r="A634" s="116"/>
      <c r="B634" s="97"/>
      <c r="C634" s="118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</row>
    <row r="635" customHeight="1" spans="1:18">
      <c r="A635" s="116"/>
      <c r="B635" s="97"/>
      <c r="C635" s="118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</row>
    <row r="636" customHeight="1" spans="1:18">
      <c r="A636" s="116"/>
      <c r="B636" s="97"/>
      <c r="C636" s="118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</row>
    <row r="637" customHeight="1" spans="1:18">
      <c r="A637" s="116"/>
      <c r="B637" s="97"/>
      <c r="C637" s="118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</row>
    <row r="638" customHeight="1" spans="1:18">
      <c r="A638" s="116"/>
      <c r="B638" s="97"/>
      <c r="C638" s="118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</row>
    <row r="639" customHeight="1" spans="1:18">
      <c r="A639" s="116"/>
      <c r="B639" s="97"/>
      <c r="C639" s="118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</row>
    <row r="640" customHeight="1" spans="1:18">
      <c r="A640" s="116"/>
      <c r="B640" s="97"/>
      <c r="C640" s="118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</row>
    <row r="641" customHeight="1" spans="1:18">
      <c r="A641" s="116"/>
      <c r="B641" s="97"/>
      <c r="C641" s="118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</row>
    <row r="642" customHeight="1" spans="1:18">
      <c r="A642" s="116"/>
      <c r="B642" s="97"/>
      <c r="C642" s="118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</row>
    <row r="643" customHeight="1" spans="1:18">
      <c r="A643" s="116"/>
      <c r="B643" s="97"/>
      <c r="C643" s="118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</row>
    <row r="644" customHeight="1" spans="1:18">
      <c r="A644" s="116"/>
      <c r="B644" s="97"/>
      <c r="C644" s="118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</row>
    <row r="645" customHeight="1" spans="1:18">
      <c r="A645" s="116"/>
      <c r="B645" s="97"/>
      <c r="C645" s="118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</row>
    <row r="646" customHeight="1" spans="1:18">
      <c r="A646" s="116"/>
      <c r="B646" s="97"/>
      <c r="C646" s="118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</row>
    <row r="647" customHeight="1" spans="1:18">
      <c r="A647" s="116"/>
      <c r="B647" s="97"/>
      <c r="C647" s="118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</row>
    <row r="648" customHeight="1" spans="1:18">
      <c r="A648" s="116"/>
      <c r="B648" s="97"/>
      <c r="C648" s="118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</row>
    <row r="649" customHeight="1" spans="1:18">
      <c r="A649" s="116"/>
      <c r="B649" s="97"/>
      <c r="C649" s="118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</row>
    <row r="650" customHeight="1" spans="1:18">
      <c r="A650" s="116"/>
      <c r="B650" s="97"/>
      <c r="C650" s="118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</row>
    <row r="651" customHeight="1" spans="1:18">
      <c r="A651" s="116"/>
      <c r="B651" s="97"/>
      <c r="C651" s="118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</row>
    <row r="652" customHeight="1" spans="1:18">
      <c r="A652" s="116"/>
      <c r="B652" s="97"/>
      <c r="C652" s="118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</row>
    <row r="653" customHeight="1" spans="1:18">
      <c r="A653" s="116"/>
      <c r="B653" s="97"/>
      <c r="C653" s="118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</row>
    <row r="654" customHeight="1" spans="1:18">
      <c r="A654" s="116"/>
      <c r="B654" s="97"/>
      <c r="C654" s="118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</row>
    <row r="655" customHeight="1" spans="1:18">
      <c r="A655" s="116"/>
      <c r="B655" s="97"/>
      <c r="C655" s="118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</row>
    <row r="656" customHeight="1" spans="1:18">
      <c r="A656" s="116"/>
      <c r="B656" s="97"/>
      <c r="C656" s="118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</row>
    <row r="657" customHeight="1" spans="1:18">
      <c r="A657" s="116"/>
      <c r="B657" s="97"/>
      <c r="C657" s="118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</row>
    <row r="658" customHeight="1" spans="1:18">
      <c r="A658" s="116"/>
      <c r="B658" s="97"/>
      <c r="C658" s="118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</row>
    <row r="659" customHeight="1" spans="1:18">
      <c r="A659" s="116"/>
      <c r="B659" s="97"/>
      <c r="C659" s="118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</row>
    <row r="660" customHeight="1" spans="1:18">
      <c r="A660" s="116"/>
      <c r="B660" s="97"/>
      <c r="C660" s="118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</row>
    <row r="661" customHeight="1" spans="1:18">
      <c r="A661" s="116"/>
      <c r="B661" s="97"/>
      <c r="C661" s="118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</row>
    <row r="662" customHeight="1" spans="1:18">
      <c r="A662" s="116"/>
      <c r="B662" s="97"/>
      <c r="C662" s="118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</row>
    <row r="663" customHeight="1" spans="1:18">
      <c r="A663" s="116"/>
      <c r="B663" s="97"/>
      <c r="C663" s="118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</row>
    <row r="664" customHeight="1" spans="1:18">
      <c r="A664" s="116"/>
      <c r="B664" s="97"/>
      <c r="C664" s="118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</row>
    <row r="665" customHeight="1" spans="1:18">
      <c r="A665" s="116"/>
      <c r="B665" s="97"/>
      <c r="C665" s="118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</row>
    <row r="666" customHeight="1" spans="1:18">
      <c r="A666" s="116"/>
      <c r="B666" s="97"/>
      <c r="C666" s="118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</row>
    <row r="667" customHeight="1" spans="1:18">
      <c r="A667" s="116"/>
      <c r="B667" s="97"/>
      <c r="C667" s="118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</row>
    <row r="668" customHeight="1" spans="1:18">
      <c r="A668" s="116"/>
      <c r="B668" s="97"/>
      <c r="C668" s="118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</row>
    <row r="669" customHeight="1" spans="1:18">
      <c r="A669" s="116"/>
      <c r="B669" s="97"/>
      <c r="C669" s="118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</row>
    <row r="670" customHeight="1" spans="1:18">
      <c r="A670" s="116"/>
      <c r="B670" s="97"/>
      <c r="C670" s="118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</row>
    <row r="671" customHeight="1" spans="1:18">
      <c r="A671" s="116"/>
      <c r="B671" s="97"/>
      <c r="C671" s="118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</row>
    <row r="672" customHeight="1" spans="1:18">
      <c r="A672" s="116"/>
      <c r="B672" s="97"/>
      <c r="C672" s="118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</row>
    <row r="673" customHeight="1" spans="1:18">
      <c r="A673" s="116"/>
      <c r="B673" s="97"/>
      <c r="C673" s="118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</row>
    <row r="674" customHeight="1" spans="1:18">
      <c r="A674" s="116"/>
      <c r="B674" s="97"/>
      <c r="C674" s="118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</row>
    <row r="675" customHeight="1" spans="1:18">
      <c r="A675" s="116"/>
      <c r="B675" s="97"/>
      <c r="C675" s="118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</row>
    <row r="676" customHeight="1" spans="1:18">
      <c r="A676" s="116"/>
      <c r="B676" s="97"/>
      <c r="C676" s="118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</row>
    <row r="677" customHeight="1" spans="1:18">
      <c r="A677" s="116"/>
      <c r="B677" s="97"/>
      <c r="C677" s="118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</row>
    <row r="678" customHeight="1" spans="1:18">
      <c r="A678" s="116"/>
      <c r="B678" s="97"/>
      <c r="C678" s="118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</row>
    <row r="679" customHeight="1" spans="1:18">
      <c r="A679" s="116"/>
      <c r="B679" s="97"/>
      <c r="C679" s="118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</row>
    <row r="680" customHeight="1" spans="1:18">
      <c r="A680" s="116"/>
      <c r="B680" s="97"/>
      <c r="C680" s="118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</row>
    <row r="681" customHeight="1" spans="1:18">
      <c r="A681" s="116"/>
      <c r="B681" s="97"/>
      <c r="C681" s="118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</row>
    <row r="682" customHeight="1" spans="1:18">
      <c r="A682" s="116"/>
      <c r="B682" s="97"/>
      <c r="C682" s="118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</row>
    <row r="683" customHeight="1" spans="1:18">
      <c r="A683" s="116"/>
      <c r="B683" s="97"/>
      <c r="C683" s="118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</row>
    <row r="684" customHeight="1" spans="1:18">
      <c r="A684" s="116"/>
      <c r="B684" s="97"/>
      <c r="C684" s="118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</row>
    <row r="685" customHeight="1" spans="1:18">
      <c r="A685" s="116"/>
      <c r="B685" s="97"/>
      <c r="C685" s="118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</row>
    <row r="686" customHeight="1" spans="1:18">
      <c r="A686" s="116"/>
      <c r="B686" s="97"/>
      <c r="C686" s="118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</row>
    <row r="687" customHeight="1" spans="1:18">
      <c r="A687" s="116"/>
      <c r="B687" s="97"/>
      <c r="C687" s="118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</row>
    <row r="688" customHeight="1" spans="1:18">
      <c r="A688" s="116"/>
      <c r="B688" s="97"/>
      <c r="C688" s="118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</row>
    <row r="689" customHeight="1" spans="1:18">
      <c r="A689" s="116"/>
      <c r="B689" s="97"/>
      <c r="C689" s="118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</row>
    <row r="690" customHeight="1" spans="1:18">
      <c r="A690" s="116"/>
      <c r="B690" s="97"/>
      <c r="C690" s="118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</row>
    <row r="691" customHeight="1" spans="1:18">
      <c r="A691" s="116"/>
      <c r="B691" s="97"/>
      <c r="C691" s="118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</row>
    <row r="692" customHeight="1" spans="1:18">
      <c r="A692" s="116"/>
      <c r="B692" s="97"/>
      <c r="C692" s="118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</row>
    <row r="693" customHeight="1" spans="1:18">
      <c r="A693" s="116"/>
      <c r="B693" s="97"/>
      <c r="C693" s="118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</row>
    <row r="694" customHeight="1" spans="1:18">
      <c r="A694" s="116"/>
      <c r="B694" s="97"/>
      <c r="C694" s="118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</row>
    <row r="695" customHeight="1" spans="1:18">
      <c r="A695" s="116"/>
      <c r="B695" s="97"/>
      <c r="C695" s="118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</row>
    <row r="696" customHeight="1" spans="1:18">
      <c r="A696" s="116"/>
      <c r="B696" s="97"/>
      <c r="C696" s="118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</row>
    <row r="697" customHeight="1" spans="1:18">
      <c r="A697" s="116"/>
      <c r="B697" s="97"/>
      <c r="C697" s="118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</row>
    <row r="698" customHeight="1" spans="1:18">
      <c r="A698" s="116"/>
      <c r="B698" s="97"/>
      <c r="C698" s="118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</row>
    <row r="699" customHeight="1" spans="1:18">
      <c r="A699" s="116"/>
      <c r="B699" s="97"/>
      <c r="C699" s="118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</row>
    <row r="700" customHeight="1" spans="1:18">
      <c r="A700" s="116"/>
      <c r="B700" s="97"/>
      <c r="C700" s="118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</row>
    <row r="701" customHeight="1" spans="1:18">
      <c r="A701" s="116"/>
      <c r="B701" s="97"/>
      <c r="C701" s="118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</row>
    <row r="702" customHeight="1" spans="1:18">
      <c r="A702" s="116"/>
      <c r="B702" s="97"/>
      <c r="C702" s="118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</row>
    <row r="703" customHeight="1" spans="1:18">
      <c r="A703" s="116"/>
      <c r="B703" s="97"/>
      <c r="C703" s="118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</row>
    <row r="704" customHeight="1" spans="1:18">
      <c r="A704" s="116"/>
      <c r="B704" s="97"/>
      <c r="C704" s="118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</row>
    <row r="705" customHeight="1" spans="1:18">
      <c r="A705" s="116"/>
      <c r="B705" s="97"/>
      <c r="C705" s="118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</row>
    <row r="706" customHeight="1" spans="1:18">
      <c r="A706" s="116"/>
      <c r="B706" s="97"/>
      <c r="C706" s="118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</row>
    <row r="707" customHeight="1" spans="1:18">
      <c r="A707" s="116"/>
      <c r="B707" s="97"/>
      <c r="C707" s="118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</row>
    <row r="708" customHeight="1" spans="1:18">
      <c r="A708" s="116"/>
      <c r="B708" s="97"/>
      <c r="C708" s="118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</row>
    <row r="709" customHeight="1" spans="1:18">
      <c r="A709" s="116"/>
      <c r="B709" s="97"/>
      <c r="C709" s="118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</row>
    <row r="710" customHeight="1" spans="1:18">
      <c r="A710" s="116"/>
      <c r="B710" s="97"/>
      <c r="C710" s="118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</row>
    <row r="711" customHeight="1" spans="1:18">
      <c r="A711" s="116"/>
      <c r="B711" s="97"/>
      <c r="C711" s="118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</row>
    <row r="712" customHeight="1" spans="1:18">
      <c r="A712" s="116"/>
      <c r="B712" s="97"/>
      <c r="C712" s="118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</row>
    <row r="713" customHeight="1" spans="1:18">
      <c r="A713" s="116"/>
      <c r="B713" s="97"/>
      <c r="C713" s="118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</row>
    <row r="714" customHeight="1" spans="1:18">
      <c r="A714" s="116"/>
      <c r="B714" s="97"/>
      <c r="C714" s="118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</row>
    <row r="715" customHeight="1" spans="1:18">
      <c r="A715" s="116"/>
      <c r="B715" s="97"/>
      <c r="C715" s="118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</row>
    <row r="716" customHeight="1" spans="1:18">
      <c r="A716" s="116"/>
      <c r="B716" s="97"/>
      <c r="C716" s="118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</row>
    <row r="717" customHeight="1" spans="1:18">
      <c r="A717" s="116"/>
      <c r="B717" s="97"/>
      <c r="C717" s="118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</row>
    <row r="718" customHeight="1" spans="1:18">
      <c r="A718" s="116"/>
      <c r="B718" s="97"/>
      <c r="C718" s="118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</row>
    <row r="719" customHeight="1" spans="1:18">
      <c r="A719" s="116"/>
      <c r="B719" s="97"/>
      <c r="C719" s="118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</row>
    <row r="720" customHeight="1" spans="1:18">
      <c r="A720" s="116"/>
      <c r="B720" s="97"/>
      <c r="C720" s="118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</row>
    <row r="721" customHeight="1" spans="1:18">
      <c r="A721" s="116"/>
      <c r="B721" s="97"/>
      <c r="C721" s="118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</row>
    <row r="722" customHeight="1" spans="1:18">
      <c r="A722" s="116"/>
      <c r="B722" s="97"/>
      <c r="C722" s="118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</row>
    <row r="723" customHeight="1" spans="1:18">
      <c r="A723" s="116"/>
      <c r="B723" s="97"/>
      <c r="C723" s="118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</row>
    <row r="724" customHeight="1" spans="1:18">
      <c r="A724" s="116"/>
      <c r="B724" s="97"/>
      <c r="C724" s="118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</row>
    <row r="725" customHeight="1" spans="1:18">
      <c r="A725" s="116"/>
      <c r="B725" s="97"/>
      <c r="C725" s="118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</row>
    <row r="726" customHeight="1" spans="1:18">
      <c r="A726" s="116"/>
      <c r="B726" s="97"/>
      <c r="C726" s="118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</row>
    <row r="727" customHeight="1" spans="1:18">
      <c r="A727" s="116"/>
      <c r="B727" s="97"/>
      <c r="C727" s="118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</row>
    <row r="728" customHeight="1" spans="1:18">
      <c r="A728" s="116"/>
      <c r="B728" s="97"/>
      <c r="C728" s="118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</row>
    <row r="729" customHeight="1" spans="1:18">
      <c r="A729" s="116"/>
      <c r="B729" s="97"/>
      <c r="C729" s="118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</row>
    <row r="730" customHeight="1" spans="1:18">
      <c r="A730" s="116"/>
      <c r="B730" s="97"/>
      <c r="C730" s="118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</row>
    <row r="731" customHeight="1" spans="1:18">
      <c r="A731" s="116"/>
      <c r="B731" s="97"/>
      <c r="C731" s="118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</row>
    <row r="732" customHeight="1" spans="1:18">
      <c r="A732" s="116"/>
      <c r="B732" s="97"/>
      <c r="C732" s="118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</row>
    <row r="733" customHeight="1" spans="1:18">
      <c r="A733" s="116"/>
      <c r="B733" s="97"/>
      <c r="C733" s="118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</row>
    <row r="734" customHeight="1" spans="1:18">
      <c r="A734" s="116"/>
      <c r="B734" s="97"/>
      <c r="C734" s="118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</row>
    <row r="735" customHeight="1" spans="1:18">
      <c r="A735" s="116"/>
      <c r="B735" s="97"/>
      <c r="C735" s="118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</row>
    <row r="736" customHeight="1" spans="1:18">
      <c r="A736" s="116"/>
      <c r="B736" s="97"/>
      <c r="C736" s="118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</row>
    <row r="737" customHeight="1" spans="1:18">
      <c r="A737" s="116"/>
      <c r="B737" s="97"/>
      <c r="C737" s="118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</row>
    <row r="738" customHeight="1" spans="1:18">
      <c r="A738" s="116"/>
      <c r="B738" s="97"/>
      <c r="C738" s="118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</row>
    <row r="739" customHeight="1" spans="1:18">
      <c r="A739" s="116"/>
      <c r="B739" s="97"/>
      <c r="C739" s="118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</row>
    <row r="740" customHeight="1" spans="1:18">
      <c r="A740" s="116"/>
      <c r="B740" s="97"/>
      <c r="C740" s="118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</row>
    <row r="741" customHeight="1" spans="1:18">
      <c r="A741" s="116"/>
      <c r="B741" s="97"/>
      <c r="C741" s="118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</row>
    <row r="742" customHeight="1" spans="1:18">
      <c r="A742" s="116"/>
      <c r="B742" s="97"/>
      <c r="C742" s="118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</row>
    <row r="743" customHeight="1" spans="1:18">
      <c r="A743" s="116"/>
      <c r="B743" s="97"/>
      <c r="C743" s="118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</row>
    <row r="744" customHeight="1" spans="1:18">
      <c r="A744" s="116"/>
      <c r="B744" s="97"/>
      <c r="C744" s="118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</row>
    <row r="745" customHeight="1" spans="1:18">
      <c r="A745" s="116"/>
      <c r="B745" s="97"/>
      <c r="C745" s="118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</row>
    <row r="746" customHeight="1" spans="1:18">
      <c r="A746" s="116"/>
      <c r="B746" s="97"/>
      <c r="C746" s="118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</row>
    <row r="747" customHeight="1" spans="1:18">
      <c r="A747" s="116"/>
      <c r="B747" s="97"/>
      <c r="C747" s="118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</row>
    <row r="748" customHeight="1" spans="1:18">
      <c r="A748" s="116"/>
      <c r="B748" s="97"/>
      <c r="C748" s="118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</row>
    <row r="749" customHeight="1" spans="1:18">
      <c r="A749" s="116"/>
      <c r="B749" s="97"/>
      <c r="C749" s="118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</row>
    <row r="750" customHeight="1" spans="1:18">
      <c r="A750" s="116"/>
      <c r="B750" s="97"/>
      <c r="C750" s="118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</row>
    <row r="751" customHeight="1" spans="1:18">
      <c r="A751" s="116"/>
      <c r="B751" s="97"/>
      <c r="C751" s="118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</row>
    <row r="752" customHeight="1" spans="1:18">
      <c r="A752" s="116"/>
      <c r="B752" s="97"/>
      <c r="C752" s="118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</row>
    <row r="753" customHeight="1" spans="1:18">
      <c r="A753" s="116"/>
      <c r="B753" s="97"/>
      <c r="C753" s="118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</row>
    <row r="754" customHeight="1" spans="1:18">
      <c r="A754" s="116"/>
      <c r="B754" s="97"/>
      <c r="C754" s="118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</row>
    <row r="755" customHeight="1" spans="1:18">
      <c r="A755" s="116"/>
      <c r="B755" s="97"/>
      <c r="C755" s="118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</row>
    <row r="756" customHeight="1" spans="1:18">
      <c r="A756" s="116"/>
      <c r="B756" s="97"/>
      <c r="C756" s="118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</row>
    <row r="757" customHeight="1" spans="1:18">
      <c r="A757" s="116"/>
      <c r="B757" s="97"/>
      <c r="C757" s="118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</row>
    <row r="758" customHeight="1" spans="1:18">
      <c r="A758" s="116"/>
      <c r="B758" s="97"/>
      <c r="C758" s="118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</row>
    <row r="759" customHeight="1" spans="1:18">
      <c r="A759" s="116"/>
      <c r="B759" s="97"/>
      <c r="C759" s="118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</row>
    <row r="760" customHeight="1" spans="1:18">
      <c r="A760" s="116"/>
      <c r="B760" s="97"/>
      <c r="C760" s="118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</row>
    <row r="761" customHeight="1" spans="1:18">
      <c r="A761" s="116"/>
      <c r="B761" s="97"/>
      <c r="C761" s="118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</row>
    <row r="762" customHeight="1" spans="1:18">
      <c r="A762" s="116"/>
      <c r="B762" s="97"/>
      <c r="C762" s="118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</row>
    <row r="763" customHeight="1" spans="1:18">
      <c r="A763" s="116"/>
      <c r="B763" s="97"/>
      <c r="C763" s="118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</row>
    <row r="764" customHeight="1" spans="1:18">
      <c r="A764" s="116"/>
      <c r="B764" s="97"/>
      <c r="C764" s="118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</row>
    <row r="765" customHeight="1" spans="1:18">
      <c r="A765" s="116"/>
      <c r="B765" s="97"/>
      <c r="C765" s="118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</row>
    <row r="766" customHeight="1" spans="1:18">
      <c r="A766" s="116"/>
      <c r="B766" s="97"/>
      <c r="C766" s="118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</row>
    <row r="767" customHeight="1" spans="1:18">
      <c r="A767" s="116"/>
      <c r="B767" s="97"/>
      <c r="C767" s="118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</row>
    <row r="768" customHeight="1" spans="1:18">
      <c r="A768" s="116"/>
      <c r="B768" s="97"/>
      <c r="C768" s="118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</row>
    <row r="769" customHeight="1" spans="1:18">
      <c r="A769" s="116"/>
      <c r="B769" s="97"/>
      <c r="C769" s="118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</row>
    <row r="770" customHeight="1" spans="1:18">
      <c r="A770" s="116"/>
      <c r="B770" s="97"/>
      <c r="C770" s="118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</row>
    <row r="771" customHeight="1" spans="1:18">
      <c r="A771" s="116"/>
      <c r="B771" s="97"/>
      <c r="C771" s="118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</row>
    <row r="772" customHeight="1" spans="1:18">
      <c r="A772" s="116"/>
      <c r="B772" s="97"/>
      <c r="C772" s="118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</row>
    <row r="773" customHeight="1" spans="1:18">
      <c r="A773" s="116"/>
      <c r="B773" s="97"/>
      <c r="C773" s="118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</row>
    <row r="774" customHeight="1" spans="1:18">
      <c r="A774" s="116"/>
      <c r="B774" s="97"/>
      <c r="C774" s="118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</row>
    <row r="775" customHeight="1" spans="1:18">
      <c r="A775" s="116"/>
      <c r="B775" s="97"/>
      <c r="C775" s="118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</row>
    <row r="776" customHeight="1" spans="1:18">
      <c r="A776" s="116"/>
      <c r="B776" s="97"/>
      <c r="C776" s="118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</row>
    <row r="777" customHeight="1" spans="1:18">
      <c r="A777" s="116"/>
      <c r="B777" s="97"/>
      <c r="C777" s="118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</row>
    <row r="778" customHeight="1" spans="1:18">
      <c r="A778" s="116"/>
      <c r="B778" s="97"/>
      <c r="C778" s="118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</row>
    <row r="779" customHeight="1" spans="1:18">
      <c r="A779" s="116"/>
      <c r="B779" s="97"/>
      <c r="C779" s="118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</row>
    <row r="780" customHeight="1" spans="1:18">
      <c r="A780" s="116"/>
      <c r="B780" s="97"/>
      <c r="C780" s="118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</row>
    <row r="781" customHeight="1" spans="1:18">
      <c r="A781" s="116"/>
      <c r="B781" s="97"/>
      <c r="C781" s="118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</row>
    <row r="782" customHeight="1" spans="1:18">
      <c r="A782" s="116"/>
      <c r="B782" s="97"/>
      <c r="C782" s="118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</row>
    <row r="783" customHeight="1" spans="1:18">
      <c r="A783" s="116"/>
      <c r="B783" s="97"/>
      <c r="C783" s="118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</row>
    <row r="784" customHeight="1" spans="1:18">
      <c r="A784" s="116"/>
      <c r="B784" s="97"/>
      <c r="C784" s="118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</row>
    <row r="785" customHeight="1" spans="1:18">
      <c r="A785" s="116"/>
      <c r="B785" s="97"/>
      <c r="C785" s="118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</row>
    <row r="786" customHeight="1" spans="1:18">
      <c r="A786" s="116"/>
      <c r="B786" s="97"/>
      <c r="C786" s="118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</row>
    <row r="787" customHeight="1" spans="1:18">
      <c r="A787" s="116"/>
      <c r="B787" s="97"/>
      <c r="C787" s="118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</row>
    <row r="788" customHeight="1" spans="1:18">
      <c r="A788" s="116"/>
      <c r="B788" s="97"/>
      <c r="C788" s="118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</row>
    <row r="789" customHeight="1" spans="1:18">
      <c r="A789" s="116"/>
      <c r="B789" s="97"/>
      <c r="C789" s="118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</row>
    <row r="790" customHeight="1" spans="1:18">
      <c r="A790" s="116"/>
      <c r="B790" s="97"/>
      <c r="C790" s="118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</row>
    <row r="791" customHeight="1" spans="1:18">
      <c r="A791" s="116"/>
      <c r="B791" s="97"/>
      <c r="C791" s="118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</row>
    <row r="792" customHeight="1" spans="1:18">
      <c r="A792" s="116"/>
      <c r="B792" s="97"/>
      <c r="C792" s="118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</row>
    <row r="793" customHeight="1" spans="1:18">
      <c r="A793" s="116"/>
      <c r="B793" s="97"/>
      <c r="C793" s="118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</row>
    <row r="794" customHeight="1" spans="1:18">
      <c r="A794" s="116"/>
      <c r="B794" s="97"/>
      <c r="C794" s="118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</row>
    <row r="795" customHeight="1" spans="1:18">
      <c r="A795" s="116"/>
      <c r="B795" s="97"/>
      <c r="C795" s="118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</row>
    <row r="796" customHeight="1" spans="1:18">
      <c r="A796" s="116"/>
      <c r="B796" s="97"/>
      <c r="C796" s="118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</row>
    <row r="797" customHeight="1" spans="1:18">
      <c r="A797" s="116"/>
      <c r="B797" s="97"/>
      <c r="C797" s="118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</row>
    <row r="798" customHeight="1" spans="1:18">
      <c r="A798" s="116"/>
      <c r="B798" s="97"/>
      <c r="C798" s="118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</row>
    <row r="799" customHeight="1" spans="1:18">
      <c r="A799" s="116"/>
      <c r="B799" s="97"/>
      <c r="C799" s="118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</row>
    <row r="800" customHeight="1" spans="1:18">
      <c r="A800" s="116"/>
      <c r="B800" s="97"/>
      <c r="C800" s="118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</row>
    <row r="801" customHeight="1" spans="1:18">
      <c r="A801" s="116"/>
      <c r="B801" s="97"/>
      <c r="C801" s="118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</row>
    <row r="802" customHeight="1" spans="1:18">
      <c r="A802" s="116"/>
      <c r="B802" s="97"/>
      <c r="C802" s="118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</row>
    <row r="803" customHeight="1" spans="1:18">
      <c r="A803" s="116"/>
      <c r="B803" s="97"/>
      <c r="C803" s="118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</row>
    <row r="804" customHeight="1" spans="1:18">
      <c r="A804" s="116"/>
      <c r="B804" s="97"/>
      <c r="C804" s="118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</row>
    <row r="805" customHeight="1" spans="1:18">
      <c r="A805" s="116"/>
      <c r="B805" s="97"/>
      <c r="C805" s="118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</row>
    <row r="806" customHeight="1" spans="1:18">
      <c r="A806" s="116"/>
      <c r="B806" s="97"/>
      <c r="C806" s="118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</row>
    <row r="807" customHeight="1" spans="1:18">
      <c r="A807" s="116"/>
      <c r="B807" s="97"/>
      <c r="C807" s="118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</row>
    <row r="808" customHeight="1" spans="1:18">
      <c r="A808" s="116"/>
      <c r="B808" s="97"/>
      <c r="C808" s="118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</row>
    <row r="809" customHeight="1" spans="1:18">
      <c r="A809" s="116"/>
      <c r="B809" s="97"/>
      <c r="C809" s="118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</row>
    <row r="810" customHeight="1" spans="1:18">
      <c r="A810" s="116"/>
      <c r="B810" s="97"/>
      <c r="C810" s="118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</row>
    <row r="811" customHeight="1" spans="1:18">
      <c r="A811" s="116"/>
      <c r="B811" s="97"/>
      <c r="C811" s="118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</row>
    <row r="812" customHeight="1" spans="1:18">
      <c r="A812" s="116"/>
      <c r="B812" s="97"/>
      <c r="C812" s="118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</row>
    <row r="813" customHeight="1" spans="1:18">
      <c r="A813" s="116"/>
      <c r="B813" s="97"/>
      <c r="C813" s="118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</row>
    <row r="814" customHeight="1" spans="1:18">
      <c r="A814" s="116"/>
      <c r="B814" s="97"/>
      <c r="C814" s="118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</row>
    <row r="815" customHeight="1" spans="1:18">
      <c r="A815" s="116"/>
      <c r="B815" s="97"/>
      <c r="C815" s="118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</row>
    <row r="816" customHeight="1" spans="1:18">
      <c r="A816" s="116"/>
      <c r="B816" s="97"/>
      <c r="C816" s="118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</row>
    <row r="817" customHeight="1" spans="1:18">
      <c r="A817" s="116"/>
      <c r="B817" s="97"/>
      <c r="C817" s="118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</row>
    <row r="818" customHeight="1" spans="1:18">
      <c r="A818" s="116"/>
      <c r="B818" s="97"/>
      <c r="C818" s="118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</row>
    <row r="819" customHeight="1" spans="1:18">
      <c r="A819" s="116"/>
      <c r="B819" s="97"/>
      <c r="C819" s="118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</row>
    <row r="820" customHeight="1" spans="1:18">
      <c r="A820" s="116"/>
      <c r="B820" s="97"/>
      <c r="C820" s="118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</row>
    <row r="821" customHeight="1" spans="1:18">
      <c r="A821" s="116"/>
      <c r="B821" s="97"/>
      <c r="C821" s="118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</row>
    <row r="822" customHeight="1" spans="1:18">
      <c r="A822" s="116"/>
      <c r="B822" s="97"/>
      <c r="C822" s="118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</row>
    <row r="823" customHeight="1" spans="1:18">
      <c r="A823" s="116"/>
      <c r="B823" s="97"/>
      <c r="C823" s="118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</row>
    <row r="824" customHeight="1" spans="1:18">
      <c r="A824" s="116"/>
      <c r="B824" s="97"/>
      <c r="C824" s="118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</row>
    <row r="825" customHeight="1" spans="1:18">
      <c r="A825" s="116"/>
      <c r="B825" s="97"/>
      <c r="C825" s="118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</row>
    <row r="826" customHeight="1" spans="1:18">
      <c r="A826" s="116"/>
      <c r="B826" s="97"/>
      <c r="C826" s="118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</row>
    <row r="827" customHeight="1" spans="1:18">
      <c r="A827" s="116"/>
      <c r="B827" s="97"/>
      <c r="C827" s="118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</row>
    <row r="828" customHeight="1" spans="1:18">
      <c r="A828" s="116"/>
      <c r="B828" s="97"/>
      <c r="C828" s="118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</row>
    <row r="829" customHeight="1" spans="1:18">
      <c r="A829" s="116"/>
      <c r="B829" s="97"/>
      <c r="C829" s="118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</row>
    <row r="830" customHeight="1" spans="1:18">
      <c r="A830" s="116"/>
      <c r="B830" s="97"/>
      <c r="C830" s="118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</row>
    <row r="831" customHeight="1" spans="1:18">
      <c r="A831" s="116"/>
      <c r="B831" s="97"/>
      <c r="C831" s="118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</row>
    <row r="832" customHeight="1" spans="1:18">
      <c r="A832" s="116"/>
      <c r="B832" s="97"/>
      <c r="C832" s="118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</row>
    <row r="833" customHeight="1" spans="1:18">
      <c r="A833" s="116"/>
      <c r="B833" s="97"/>
      <c r="C833" s="118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</row>
    <row r="834" customHeight="1" spans="1:18">
      <c r="A834" s="116"/>
      <c r="B834" s="97"/>
      <c r="C834" s="118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</row>
    <row r="835" customHeight="1" spans="1:18">
      <c r="A835" s="116"/>
      <c r="B835" s="97"/>
      <c r="C835" s="118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</row>
    <row r="836" customHeight="1" spans="1:18">
      <c r="A836" s="116"/>
      <c r="B836" s="97"/>
      <c r="C836" s="118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</row>
    <row r="837" customHeight="1" spans="1:18">
      <c r="A837" s="116"/>
      <c r="B837" s="97"/>
      <c r="C837" s="118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</row>
    <row r="838" customHeight="1" spans="1:18">
      <c r="A838" s="116"/>
      <c r="B838" s="97"/>
      <c r="C838" s="118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</row>
    <row r="839" customHeight="1" spans="1:18">
      <c r="A839" s="116"/>
      <c r="B839" s="97"/>
      <c r="C839" s="118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</row>
    <row r="840" customHeight="1" spans="1:18">
      <c r="A840" s="116"/>
      <c r="B840" s="97"/>
      <c r="C840" s="118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</row>
    <row r="841" customHeight="1" spans="1:18">
      <c r="A841" s="116"/>
      <c r="B841" s="97"/>
      <c r="C841" s="118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</row>
    <row r="842" customHeight="1" spans="1:18">
      <c r="A842" s="116"/>
      <c r="B842" s="97"/>
      <c r="C842" s="118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</row>
    <row r="843" customHeight="1" spans="1:18">
      <c r="A843" s="116"/>
      <c r="B843" s="97"/>
      <c r="C843" s="118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</row>
    <row r="844" customHeight="1" spans="1:18">
      <c r="A844" s="116"/>
      <c r="B844" s="97"/>
      <c r="C844" s="118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</row>
    <row r="845" customHeight="1" spans="1:18">
      <c r="A845" s="116"/>
      <c r="B845" s="97"/>
      <c r="C845" s="118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</row>
    <row r="846" customHeight="1" spans="1:18">
      <c r="A846" s="116"/>
      <c r="B846" s="97"/>
      <c r="C846" s="118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</row>
    <row r="847" customHeight="1" spans="1:18">
      <c r="A847" s="116"/>
      <c r="B847" s="97"/>
      <c r="C847" s="118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</row>
    <row r="848" customHeight="1" spans="1:18">
      <c r="A848" s="116"/>
      <c r="B848" s="97"/>
      <c r="C848" s="118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</row>
    <row r="849" customHeight="1" spans="1:18">
      <c r="A849" s="116"/>
      <c r="B849" s="97"/>
      <c r="C849" s="118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</row>
    <row r="850" customHeight="1" spans="1:18">
      <c r="A850" s="116"/>
      <c r="B850" s="97"/>
      <c r="C850" s="118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</row>
    <row r="851" customHeight="1" spans="1:18">
      <c r="A851" s="116"/>
      <c r="B851" s="97"/>
      <c r="C851" s="118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</row>
    <row r="852" customHeight="1" spans="1:18">
      <c r="A852" s="116"/>
      <c r="B852" s="97"/>
      <c r="C852" s="118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</row>
    <row r="853" customHeight="1" spans="1:18">
      <c r="A853" s="116"/>
      <c r="B853" s="97"/>
      <c r="C853" s="118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</row>
    <row r="854" customHeight="1" spans="1:18">
      <c r="A854" s="116"/>
      <c r="B854" s="97"/>
      <c r="C854" s="118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</row>
    <row r="855" customHeight="1" spans="1:18">
      <c r="A855" s="116"/>
      <c r="B855" s="97"/>
      <c r="C855" s="118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</row>
    <row r="856" customHeight="1" spans="1:18">
      <c r="A856" s="116"/>
      <c r="B856" s="97"/>
      <c r="C856" s="118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</row>
    <row r="857" customHeight="1" spans="1:18">
      <c r="A857" s="116"/>
      <c r="B857" s="97"/>
      <c r="C857" s="118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</row>
    <row r="858" customHeight="1" spans="1:18">
      <c r="A858" s="116"/>
      <c r="B858" s="97"/>
      <c r="C858" s="118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</row>
    <row r="859" customHeight="1" spans="1:18">
      <c r="A859" s="116"/>
      <c r="B859" s="97"/>
      <c r="C859" s="118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</row>
    <row r="860" customHeight="1" spans="1:18">
      <c r="A860" s="116"/>
      <c r="B860" s="97"/>
      <c r="C860" s="118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</row>
    <row r="861" customHeight="1" spans="1:18">
      <c r="A861" s="116"/>
      <c r="B861" s="97"/>
      <c r="C861" s="118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</row>
    <row r="862" customHeight="1" spans="1:18">
      <c r="A862" s="116"/>
      <c r="B862" s="97"/>
      <c r="C862" s="118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</row>
    <row r="863" customHeight="1" spans="1:18">
      <c r="A863" s="116"/>
      <c r="B863" s="97"/>
      <c r="C863" s="118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</row>
    <row r="864" customHeight="1" spans="1:18">
      <c r="A864" s="116"/>
      <c r="B864" s="97"/>
      <c r="C864" s="118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</row>
    <row r="865" customHeight="1" spans="1:18">
      <c r="A865" s="116"/>
      <c r="B865" s="97"/>
      <c r="C865" s="118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</row>
    <row r="866" customHeight="1" spans="1:18">
      <c r="A866" s="116"/>
      <c r="B866" s="97"/>
      <c r="C866" s="118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</row>
    <row r="867" customHeight="1" spans="1:18">
      <c r="A867" s="116"/>
      <c r="B867" s="97"/>
      <c r="C867" s="118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</row>
    <row r="868" customHeight="1" spans="1:18">
      <c r="A868" s="116"/>
      <c r="B868" s="97"/>
      <c r="C868" s="118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</row>
    <row r="869" customHeight="1" spans="1:18">
      <c r="A869" s="116"/>
      <c r="B869" s="97"/>
      <c r="C869" s="118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</row>
    <row r="870" customHeight="1" spans="1:18">
      <c r="A870" s="116"/>
      <c r="B870" s="97"/>
      <c r="C870" s="118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</row>
    <row r="871" customHeight="1" spans="1:18">
      <c r="A871" s="116"/>
      <c r="B871" s="97"/>
      <c r="C871" s="118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</row>
    <row r="872" customHeight="1" spans="1:18">
      <c r="A872" s="116"/>
      <c r="B872" s="97"/>
      <c r="C872" s="118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</row>
    <row r="873" customHeight="1" spans="1:18">
      <c r="A873" s="116"/>
      <c r="B873" s="97"/>
      <c r="C873" s="118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</row>
    <row r="874" customHeight="1" spans="1:18">
      <c r="A874" s="116"/>
      <c r="B874" s="97"/>
      <c r="C874" s="118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</row>
    <row r="875" customHeight="1" spans="1:18">
      <c r="A875" s="116"/>
      <c r="B875" s="97"/>
      <c r="C875" s="118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</row>
    <row r="876" customHeight="1" spans="1:18">
      <c r="A876" s="116"/>
      <c r="B876" s="97"/>
      <c r="C876" s="118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</row>
    <row r="877" customHeight="1" spans="1:18">
      <c r="A877" s="116"/>
      <c r="B877" s="97"/>
      <c r="C877" s="118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</row>
    <row r="878" customHeight="1" spans="1:18">
      <c r="A878" s="116"/>
      <c r="B878" s="97"/>
      <c r="C878" s="118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</row>
    <row r="879" customHeight="1" spans="1:18">
      <c r="A879" s="116"/>
      <c r="B879" s="97"/>
      <c r="C879" s="118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</row>
    <row r="880" customHeight="1" spans="1:18">
      <c r="A880" s="116"/>
      <c r="B880" s="97"/>
      <c r="C880" s="118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</row>
    <row r="881" customHeight="1" spans="1:18">
      <c r="A881" s="116"/>
      <c r="B881" s="97"/>
      <c r="C881" s="118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</row>
    <row r="882" customHeight="1" spans="1:18">
      <c r="A882" s="116"/>
      <c r="B882" s="97"/>
      <c r="C882" s="118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</row>
    <row r="883" customHeight="1" spans="1:18">
      <c r="A883" s="116"/>
      <c r="B883" s="97"/>
      <c r="C883" s="118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</row>
    <row r="884" customHeight="1" spans="1:18">
      <c r="A884" s="116"/>
      <c r="B884" s="97"/>
      <c r="C884" s="118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</row>
    <row r="885" customHeight="1" spans="1:18">
      <c r="A885" s="116"/>
      <c r="B885" s="97"/>
      <c r="C885" s="118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</row>
    <row r="886" customHeight="1" spans="1:18">
      <c r="A886" s="116"/>
      <c r="B886" s="97"/>
      <c r="C886" s="118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</row>
    <row r="887" customHeight="1" spans="1:18">
      <c r="A887" s="116"/>
      <c r="B887" s="97"/>
      <c r="C887" s="118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</row>
    <row r="888" customHeight="1" spans="1:18">
      <c r="A888" s="116"/>
      <c r="B888" s="97"/>
      <c r="C888" s="118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</row>
    <row r="889" customHeight="1" spans="1:18">
      <c r="A889" s="116"/>
      <c r="B889" s="97"/>
      <c r="C889" s="118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</row>
    <row r="890" customHeight="1" spans="1:18">
      <c r="A890" s="116"/>
      <c r="B890" s="97"/>
      <c r="C890" s="118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</row>
    <row r="891" customHeight="1" spans="1:18">
      <c r="A891" s="116"/>
      <c r="B891" s="97"/>
      <c r="C891" s="118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</row>
    <row r="892" customHeight="1" spans="1:18">
      <c r="A892" s="116"/>
      <c r="B892" s="97"/>
      <c r="C892" s="118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</row>
    <row r="893" customHeight="1" spans="1:18">
      <c r="A893" s="116"/>
      <c r="B893" s="97"/>
      <c r="C893" s="118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</row>
    <row r="894" customHeight="1" spans="1:18">
      <c r="A894" s="116"/>
      <c r="B894" s="97"/>
      <c r="C894" s="118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</row>
    <row r="895" customHeight="1" spans="1:18">
      <c r="A895" s="116"/>
      <c r="B895" s="97"/>
      <c r="C895" s="118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</row>
    <row r="896" customHeight="1" spans="1:18">
      <c r="A896" s="116"/>
      <c r="B896" s="97"/>
      <c r="C896" s="118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</row>
    <row r="897" customHeight="1" spans="1:18">
      <c r="A897" s="116"/>
      <c r="B897" s="97"/>
      <c r="C897" s="118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</row>
    <row r="898" customHeight="1" spans="1:18">
      <c r="A898" s="116"/>
      <c r="B898" s="97"/>
      <c r="C898" s="118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</row>
    <row r="899" customHeight="1" spans="1:18">
      <c r="A899" s="116"/>
      <c r="B899" s="97"/>
      <c r="C899" s="118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</row>
    <row r="900" customHeight="1" spans="1:18">
      <c r="A900" s="116"/>
      <c r="B900" s="97"/>
      <c r="C900" s="118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</row>
    <row r="901" customHeight="1" spans="1:18">
      <c r="A901" s="116"/>
      <c r="B901" s="97"/>
      <c r="C901" s="118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</row>
    <row r="902" customHeight="1" spans="1:18">
      <c r="A902" s="116"/>
      <c r="B902" s="97"/>
      <c r="C902" s="118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</row>
    <row r="903" customHeight="1" spans="1:18">
      <c r="A903" s="116"/>
      <c r="B903" s="97"/>
      <c r="C903" s="118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</row>
    <row r="904" customHeight="1" spans="1:18">
      <c r="A904" s="116"/>
      <c r="B904" s="97"/>
      <c r="C904" s="118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</row>
    <row r="905" customHeight="1" spans="1:18">
      <c r="A905" s="116"/>
      <c r="B905" s="97"/>
      <c r="C905" s="118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</row>
    <row r="906" customHeight="1" spans="1:18">
      <c r="A906" s="116"/>
      <c r="B906" s="97"/>
      <c r="C906" s="118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</row>
    <row r="907" customHeight="1" spans="1:18">
      <c r="A907" s="116"/>
      <c r="B907" s="97"/>
      <c r="C907" s="118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</row>
    <row r="908" customHeight="1" spans="1:18">
      <c r="A908" s="116"/>
      <c r="B908" s="97"/>
      <c r="C908" s="118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</row>
    <row r="909" customHeight="1" spans="1:18">
      <c r="A909" s="116"/>
      <c r="B909" s="97"/>
      <c r="C909" s="118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</row>
    <row r="910" customHeight="1" spans="1:18">
      <c r="A910" s="116"/>
      <c r="B910" s="97"/>
      <c r="C910" s="118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</row>
    <row r="911" customHeight="1" spans="1:18">
      <c r="A911" s="116"/>
      <c r="B911" s="97"/>
      <c r="C911" s="118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</row>
    <row r="912" customHeight="1" spans="1:18">
      <c r="A912" s="116"/>
      <c r="B912" s="97"/>
      <c r="C912" s="118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</row>
    <row r="913" customHeight="1" spans="1:18">
      <c r="A913" s="116"/>
      <c r="B913" s="97"/>
      <c r="C913" s="118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</row>
    <row r="914" customHeight="1" spans="1:18">
      <c r="A914" s="116"/>
      <c r="B914" s="97"/>
      <c r="C914" s="118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</row>
    <row r="915" customHeight="1" spans="1:18">
      <c r="A915" s="116"/>
      <c r="B915" s="97"/>
      <c r="C915" s="118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</row>
    <row r="916" customHeight="1" spans="1:18">
      <c r="A916" s="116"/>
      <c r="B916" s="97"/>
      <c r="C916" s="118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</row>
    <row r="917" customHeight="1" spans="1:18">
      <c r="A917" s="116"/>
      <c r="B917" s="97"/>
      <c r="C917" s="118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</row>
    <row r="918" customHeight="1" spans="1:18">
      <c r="A918" s="116"/>
      <c r="B918" s="97"/>
      <c r="C918" s="118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</row>
    <row r="919" customHeight="1" spans="1:18">
      <c r="A919" s="116"/>
      <c r="B919" s="97"/>
      <c r="C919" s="118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</row>
    <row r="920" customHeight="1" spans="1:18">
      <c r="A920" s="116"/>
      <c r="B920" s="97"/>
      <c r="C920" s="118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</row>
    <row r="921" customHeight="1" spans="1:18">
      <c r="A921" s="116"/>
      <c r="B921" s="97"/>
      <c r="C921" s="118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</row>
    <row r="922" customHeight="1" spans="1:18">
      <c r="A922" s="116"/>
      <c r="B922" s="97"/>
      <c r="C922" s="118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</row>
    <row r="923" customHeight="1" spans="1:18">
      <c r="A923" s="116"/>
      <c r="B923" s="97"/>
      <c r="C923" s="118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</row>
    <row r="924" customHeight="1" spans="1:18">
      <c r="A924" s="116"/>
      <c r="B924" s="97"/>
      <c r="C924" s="118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</row>
    <row r="925" customHeight="1" spans="1:18">
      <c r="A925" s="116"/>
      <c r="B925" s="97"/>
      <c r="C925" s="118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</row>
    <row r="926" customHeight="1" spans="1:18">
      <c r="A926" s="116"/>
      <c r="B926" s="97"/>
      <c r="C926" s="118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</row>
    <row r="927" customHeight="1" spans="1:18">
      <c r="A927" s="116"/>
      <c r="B927" s="97"/>
      <c r="C927" s="118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</row>
    <row r="928" customHeight="1" spans="1:18">
      <c r="A928" s="116"/>
      <c r="B928" s="97"/>
      <c r="C928" s="118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</row>
    <row r="929" customHeight="1" spans="1:18">
      <c r="A929" s="116"/>
      <c r="B929" s="97"/>
      <c r="C929" s="118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</row>
    <row r="930" customHeight="1" spans="1:18">
      <c r="A930" s="116"/>
      <c r="B930" s="97"/>
      <c r="C930" s="118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</row>
    <row r="931" customHeight="1" spans="1:18">
      <c r="A931" s="116"/>
      <c r="B931" s="97"/>
      <c r="C931" s="118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</row>
    <row r="932" customHeight="1" spans="1:18">
      <c r="A932" s="116"/>
      <c r="B932" s="97"/>
      <c r="C932" s="118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</row>
    <row r="933" customHeight="1" spans="1:18">
      <c r="A933" s="116"/>
      <c r="B933" s="97"/>
      <c r="C933" s="118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</row>
    <row r="934" customHeight="1" spans="1:18">
      <c r="A934" s="116"/>
      <c r="B934" s="97"/>
      <c r="C934" s="118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</row>
    <row r="935" customHeight="1" spans="1:18">
      <c r="A935" s="116"/>
      <c r="B935" s="97"/>
      <c r="C935" s="118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</row>
    <row r="936" customHeight="1" spans="1:18">
      <c r="A936" s="116"/>
      <c r="B936" s="97"/>
      <c r="C936" s="118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</row>
    <row r="937" customHeight="1" spans="1:18">
      <c r="A937" s="116"/>
      <c r="B937" s="97"/>
      <c r="C937" s="118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</row>
    <row r="938" customHeight="1" spans="1:18">
      <c r="A938" s="116"/>
      <c r="B938" s="97"/>
      <c r="C938" s="118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</row>
    <row r="939" customHeight="1" spans="1:18">
      <c r="A939" s="116"/>
      <c r="B939" s="97"/>
      <c r="C939" s="118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</row>
    <row r="940" customHeight="1" spans="1:18">
      <c r="A940" s="116"/>
      <c r="B940" s="97"/>
      <c r="C940" s="118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</row>
    <row r="941" customHeight="1" spans="1:18">
      <c r="A941" s="116"/>
      <c r="B941" s="97"/>
      <c r="C941" s="118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</row>
    <row r="942" customHeight="1" spans="1:18">
      <c r="A942" s="116"/>
      <c r="B942" s="97"/>
      <c r="C942" s="118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</row>
    <row r="943" customHeight="1" spans="1:18">
      <c r="A943" s="116"/>
      <c r="B943" s="97"/>
      <c r="C943" s="118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</row>
    <row r="944" customHeight="1" spans="1:18">
      <c r="A944" s="116"/>
      <c r="B944" s="97"/>
      <c r="C944" s="118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</row>
    <row r="945" customHeight="1" spans="1:18">
      <c r="A945" s="116"/>
      <c r="B945" s="97"/>
      <c r="C945" s="118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</row>
    <row r="946" customHeight="1" spans="1:18">
      <c r="A946" s="116"/>
      <c r="B946" s="97"/>
      <c r="C946" s="118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</row>
    <row r="947" customHeight="1" spans="1:18">
      <c r="A947" s="116"/>
      <c r="B947" s="97"/>
      <c r="C947" s="118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</row>
    <row r="948" customHeight="1" spans="1:18">
      <c r="A948" s="116"/>
      <c r="B948" s="97"/>
      <c r="C948" s="118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</row>
    <row r="949" customHeight="1" spans="1:18">
      <c r="A949" s="116"/>
      <c r="B949" s="97"/>
      <c r="C949" s="118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</row>
    <row r="950" customHeight="1" spans="1:18">
      <c r="A950" s="116"/>
      <c r="B950" s="97"/>
      <c r="C950" s="118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</row>
    <row r="951" customHeight="1" spans="1:18">
      <c r="A951" s="116"/>
      <c r="B951" s="97"/>
      <c r="C951" s="118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</row>
    <row r="952" customHeight="1" spans="1:18">
      <c r="A952" s="116"/>
      <c r="B952" s="97"/>
      <c r="C952" s="118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</row>
    <row r="953" customHeight="1" spans="1:18">
      <c r="A953" s="116"/>
      <c r="B953" s="97"/>
      <c r="C953" s="118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</row>
    <row r="954" customHeight="1" spans="1:18">
      <c r="A954" s="116"/>
      <c r="B954" s="97"/>
      <c r="C954" s="118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</row>
    <row r="955" customHeight="1" spans="1:18">
      <c r="A955" s="116"/>
      <c r="B955" s="97"/>
      <c r="C955" s="118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</row>
    <row r="956" customHeight="1" spans="1:18">
      <c r="A956" s="116"/>
      <c r="B956" s="97"/>
      <c r="C956" s="118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</row>
    <row r="957" customHeight="1" spans="1:18">
      <c r="A957" s="116"/>
      <c r="B957" s="97"/>
      <c r="C957" s="118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</row>
    <row r="958" customHeight="1" spans="1:18">
      <c r="A958" s="116"/>
      <c r="B958" s="97"/>
      <c r="C958" s="118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</row>
    <row r="959" customHeight="1" spans="1:18">
      <c r="A959" s="116"/>
      <c r="B959" s="97"/>
      <c r="C959" s="118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</row>
    <row r="960" customHeight="1" spans="1:18">
      <c r="A960" s="116"/>
      <c r="B960" s="97"/>
      <c r="C960" s="118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</row>
    <row r="961" customHeight="1" spans="1:18">
      <c r="A961" s="116"/>
      <c r="B961" s="97"/>
      <c r="C961" s="118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</row>
    <row r="962" customHeight="1" spans="1:18">
      <c r="A962" s="116"/>
      <c r="B962" s="97"/>
      <c r="C962" s="118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</row>
    <row r="963" customHeight="1" spans="1:18">
      <c r="A963" s="116"/>
      <c r="B963" s="97"/>
      <c r="C963" s="118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</row>
    <row r="964" customHeight="1" spans="1:18">
      <c r="A964" s="116"/>
      <c r="B964" s="97"/>
      <c r="C964" s="118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</row>
    <row r="965" customHeight="1" spans="1:18">
      <c r="A965" s="116"/>
      <c r="B965" s="97"/>
      <c r="C965" s="118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</row>
    <row r="966" customHeight="1" spans="1:18">
      <c r="A966" s="116"/>
      <c r="B966" s="97"/>
      <c r="C966" s="118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</row>
    <row r="967" customHeight="1" spans="1:18">
      <c r="A967" s="116"/>
      <c r="B967" s="97"/>
      <c r="C967" s="118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</row>
    <row r="968" customHeight="1" spans="1:18">
      <c r="A968" s="116"/>
      <c r="B968" s="97"/>
      <c r="C968" s="118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</row>
    <row r="969" customHeight="1" spans="1:18">
      <c r="A969" s="116"/>
      <c r="B969" s="97"/>
      <c r="C969" s="118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</row>
    <row r="970" customHeight="1" spans="1:18">
      <c r="A970" s="116"/>
      <c r="B970" s="97"/>
      <c r="C970" s="118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</row>
    <row r="971" customHeight="1" spans="1:18">
      <c r="A971" s="116"/>
      <c r="B971" s="97"/>
      <c r="C971" s="118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</row>
    <row r="972" customHeight="1" spans="1:18">
      <c r="A972" s="116"/>
      <c r="B972" s="97"/>
      <c r="C972" s="118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</row>
    <row r="973" customHeight="1" spans="1:18">
      <c r="A973" s="116"/>
      <c r="B973" s="97"/>
      <c r="C973" s="118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</row>
    <row r="974" customHeight="1" spans="1:18">
      <c r="A974" s="116"/>
      <c r="B974" s="97"/>
      <c r="C974" s="118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</row>
    <row r="975" customHeight="1" spans="1:18">
      <c r="A975" s="116"/>
      <c r="B975" s="97"/>
      <c r="C975" s="118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</row>
    <row r="976" customHeight="1" spans="1:18">
      <c r="A976" s="116"/>
      <c r="B976" s="97"/>
      <c r="C976" s="118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</row>
    <row r="977" customHeight="1" spans="1:18">
      <c r="A977" s="116"/>
      <c r="B977" s="97"/>
      <c r="C977" s="118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</row>
    <row r="978" customHeight="1" spans="1:18">
      <c r="A978" s="116"/>
      <c r="B978" s="97"/>
      <c r="C978" s="118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</row>
    <row r="979" customHeight="1" spans="1:18">
      <c r="A979" s="116"/>
      <c r="B979" s="97"/>
      <c r="C979" s="118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</row>
    <row r="980" customHeight="1" spans="1:18">
      <c r="A980" s="116"/>
      <c r="B980" s="97"/>
      <c r="C980" s="118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</row>
    <row r="981" customHeight="1" spans="1:18">
      <c r="A981" s="116"/>
      <c r="B981" s="97"/>
      <c r="C981" s="118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</row>
    <row r="982" customHeight="1" spans="1:18">
      <c r="A982" s="116"/>
      <c r="B982" s="97"/>
      <c r="C982" s="118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</row>
    <row r="983" customHeight="1" spans="1:18">
      <c r="A983" s="116"/>
      <c r="B983" s="97"/>
      <c r="C983" s="118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</row>
    <row r="984" customHeight="1" spans="1:18">
      <c r="A984" s="116"/>
      <c r="B984" s="97"/>
      <c r="C984" s="118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</row>
    <row r="985" customHeight="1" spans="1:18">
      <c r="A985" s="116"/>
      <c r="B985" s="97"/>
      <c r="C985" s="118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</row>
    <row r="986" customHeight="1" spans="1:18">
      <c r="A986" s="116"/>
      <c r="B986" s="97"/>
      <c r="C986" s="118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</row>
    <row r="987" customHeight="1" spans="1:18">
      <c r="A987" s="116"/>
      <c r="B987" s="97"/>
      <c r="C987" s="118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</row>
    <row r="988" customHeight="1" spans="1:18">
      <c r="A988" s="116"/>
      <c r="B988" s="97"/>
      <c r="C988" s="118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</row>
    <row r="989" customHeight="1" spans="1:18">
      <c r="A989" s="116"/>
      <c r="B989" s="97"/>
      <c r="C989" s="118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</row>
    <row r="990" customHeight="1" spans="1:18">
      <c r="A990" s="116"/>
      <c r="B990" s="97"/>
      <c r="C990" s="118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</row>
    <row r="991" customHeight="1" spans="1:18">
      <c r="A991" s="116"/>
      <c r="B991" s="97"/>
      <c r="C991" s="118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</row>
    <row r="992" customHeight="1" spans="1:18">
      <c r="A992" s="116"/>
      <c r="B992" s="97"/>
      <c r="C992" s="118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</row>
    <row r="993" customHeight="1" spans="1:18">
      <c r="A993" s="116"/>
      <c r="B993" s="97"/>
      <c r="C993" s="118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</row>
    <row r="994" customHeight="1" spans="1:18">
      <c r="A994" s="116"/>
      <c r="B994" s="97"/>
      <c r="C994" s="118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</row>
    <row r="995" customHeight="1" spans="1:18">
      <c r="A995" s="116"/>
      <c r="B995" s="97"/>
      <c r="C995" s="118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</row>
    <row r="996" customHeight="1" spans="1:18">
      <c r="A996" s="116"/>
      <c r="B996" s="97"/>
      <c r="C996" s="118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</row>
    <row r="997" customHeight="1" spans="1:18">
      <c r="A997" s="116"/>
      <c r="B997" s="97"/>
      <c r="C997" s="118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</row>
    <row r="998" customHeight="1" spans="1:18">
      <c r="A998" s="116"/>
      <c r="B998" s="97"/>
      <c r="C998" s="118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</row>
    <row r="999" customHeight="1" spans="1:18">
      <c r="A999" s="116"/>
      <c r="B999" s="97"/>
      <c r="C999" s="118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</row>
    <row r="1000" customHeight="1" spans="1:18">
      <c r="A1000" s="116"/>
      <c r="B1000" s="97"/>
      <c r="C1000" s="118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</row>
    <row r="1001" customHeight="1" spans="1:18">
      <c r="A1001" s="116"/>
      <c r="B1001" s="97"/>
      <c r="C1001" s="118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</row>
    <row r="1002" customHeight="1" spans="1:18">
      <c r="A1002" s="116"/>
      <c r="B1002" s="97"/>
      <c r="C1002" s="118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</row>
    <row r="1003" customHeight="1" spans="1:18">
      <c r="A1003" s="116"/>
      <c r="B1003" s="97"/>
      <c r="C1003" s="118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</row>
    <row r="1004" customHeight="1" spans="1:18">
      <c r="A1004" s="116"/>
      <c r="B1004" s="97"/>
      <c r="C1004" s="118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</row>
    <row r="1005" customHeight="1" spans="1:18">
      <c r="A1005" s="116"/>
      <c r="B1005" s="97"/>
      <c r="C1005" s="118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</row>
    <row r="1006" customHeight="1" spans="1:18">
      <c r="A1006" s="116"/>
      <c r="B1006" s="97"/>
      <c r="C1006" s="118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</row>
    <row r="1007" customHeight="1" spans="1:18">
      <c r="A1007" s="116"/>
      <c r="B1007" s="97"/>
      <c r="C1007" s="118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</row>
    <row r="1008" customHeight="1" spans="1:18">
      <c r="A1008" s="116"/>
      <c r="B1008" s="97"/>
      <c r="C1008" s="118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</row>
    <row r="1009" customHeight="1" spans="1:18">
      <c r="A1009" s="116"/>
      <c r="B1009" s="97"/>
      <c r="C1009" s="118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</row>
    <row r="1010" customHeight="1" spans="1:18">
      <c r="A1010" s="116"/>
      <c r="B1010" s="97"/>
      <c r="C1010" s="118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</row>
    <row r="1011" customHeight="1" spans="1:18">
      <c r="A1011" s="116"/>
      <c r="B1011" s="97"/>
      <c r="C1011" s="118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</row>
    <row r="1012" customHeight="1" spans="1:18">
      <c r="A1012" s="116"/>
      <c r="B1012" s="97"/>
      <c r="C1012" s="118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</row>
    <row r="1013" customHeight="1" spans="1:18">
      <c r="A1013" s="116"/>
      <c r="B1013" s="97"/>
      <c r="C1013" s="118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</row>
    <row r="1014" customHeight="1" spans="1:18">
      <c r="A1014" s="116"/>
      <c r="B1014" s="97"/>
      <c r="C1014" s="118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</row>
    <row r="1015" customHeight="1" spans="1:18">
      <c r="A1015" s="116"/>
      <c r="B1015" s="97"/>
      <c r="C1015" s="118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</row>
    <row r="1016" customHeight="1" spans="1:18">
      <c r="A1016" s="116"/>
      <c r="B1016" s="97"/>
      <c r="C1016" s="118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</row>
    <row r="1017" customHeight="1" spans="1:18">
      <c r="A1017" s="116"/>
      <c r="B1017" s="97"/>
      <c r="C1017" s="118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</row>
    <row r="1018" customHeight="1" spans="1:18">
      <c r="A1018" s="116"/>
      <c r="B1018" s="97"/>
      <c r="C1018" s="118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</row>
    <row r="1019" customHeight="1" spans="1:18">
      <c r="A1019" s="116"/>
      <c r="B1019" s="97"/>
      <c r="C1019" s="118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</row>
    <row r="1020" customHeight="1" spans="1:18">
      <c r="A1020" s="116"/>
      <c r="B1020" s="97"/>
      <c r="C1020" s="118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</row>
    <row r="1021" customHeight="1" spans="1:18">
      <c r="A1021" s="116"/>
      <c r="B1021" s="97"/>
      <c r="C1021" s="118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</row>
    <row r="1022" customHeight="1" spans="1:18">
      <c r="A1022" s="116"/>
      <c r="B1022" s="97"/>
      <c r="C1022" s="118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</row>
    <row r="1023" customHeight="1" spans="1:18">
      <c r="A1023" s="116"/>
      <c r="B1023" s="97"/>
      <c r="C1023" s="118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</row>
    <row r="1024" customHeight="1" spans="1:18">
      <c r="A1024" s="116"/>
      <c r="B1024" s="97"/>
      <c r="C1024" s="118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</row>
    <row r="1025" customHeight="1" spans="1:18">
      <c r="A1025" s="116"/>
      <c r="B1025" s="97"/>
      <c r="C1025" s="118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</row>
    <row r="1026" customHeight="1" spans="1:18">
      <c r="A1026" s="116"/>
      <c r="B1026" s="97"/>
      <c r="C1026" s="118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</row>
    <row r="1027" customHeight="1" spans="1:18">
      <c r="A1027" s="116"/>
      <c r="B1027" s="97"/>
      <c r="C1027" s="118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</row>
    <row r="1028" customHeight="1" spans="1:18">
      <c r="A1028" s="116"/>
      <c r="B1028" s="97"/>
      <c r="C1028" s="118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</row>
    <row r="1029" customHeight="1" spans="1:18">
      <c r="A1029" s="116"/>
      <c r="B1029" s="97"/>
      <c r="C1029" s="118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</row>
    <row r="1030" customHeight="1" spans="1:18">
      <c r="A1030" s="116"/>
      <c r="B1030" s="97"/>
      <c r="C1030" s="118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</row>
    <row r="1031" customHeight="1" spans="1:18">
      <c r="A1031" s="116"/>
      <c r="B1031" s="97"/>
      <c r="C1031" s="118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</row>
    <row r="1032" customHeight="1" spans="1:18">
      <c r="A1032" s="116"/>
      <c r="B1032" s="97"/>
      <c r="C1032" s="118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</row>
    <row r="1033" customHeight="1" spans="1:18">
      <c r="A1033" s="116"/>
      <c r="B1033" s="97"/>
      <c r="C1033" s="118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</row>
    <row r="1034" customHeight="1" spans="1:18">
      <c r="A1034" s="116"/>
      <c r="B1034" s="97"/>
      <c r="C1034" s="118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</row>
    <row r="1035" customHeight="1" spans="1:18">
      <c r="A1035" s="116"/>
      <c r="B1035" s="97"/>
      <c r="C1035" s="118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</row>
    <row r="1036" customHeight="1" spans="1:18">
      <c r="A1036" s="116"/>
      <c r="B1036" s="97"/>
      <c r="C1036" s="118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</row>
    <row r="1037" customHeight="1" spans="1:18">
      <c r="A1037" s="116"/>
      <c r="B1037" s="97"/>
      <c r="C1037" s="118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</row>
    <row r="1038" customHeight="1" spans="1:18">
      <c r="A1038" s="116"/>
      <c r="B1038" s="97"/>
      <c r="C1038" s="118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</row>
    <row r="1039" customHeight="1" spans="1:18">
      <c r="A1039" s="116"/>
      <c r="B1039" s="97"/>
      <c r="C1039" s="118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</row>
    <row r="1040" customHeight="1" spans="1:18">
      <c r="A1040" s="116"/>
      <c r="B1040" s="97"/>
      <c r="C1040" s="118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</row>
    <row r="1041" customHeight="1" spans="1:18">
      <c r="A1041" s="116"/>
      <c r="B1041" s="97"/>
      <c r="C1041" s="118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</row>
    <row r="1042" customHeight="1" spans="1:18">
      <c r="A1042" s="116"/>
      <c r="B1042" s="97"/>
      <c r="C1042" s="118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</row>
    <row r="1043" customHeight="1" spans="1:18">
      <c r="A1043" s="116"/>
      <c r="B1043" s="97"/>
      <c r="C1043" s="118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</row>
    <row r="1044" customHeight="1" spans="1:18">
      <c r="A1044" s="116"/>
      <c r="B1044" s="97"/>
      <c r="C1044" s="118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</row>
    <row r="1045" customHeight="1" spans="1:18">
      <c r="A1045" s="116"/>
      <c r="B1045" s="97"/>
      <c r="C1045" s="118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</row>
    <row r="1046" customHeight="1" spans="1:18">
      <c r="A1046" s="116"/>
      <c r="B1046" s="97"/>
      <c r="C1046" s="118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</row>
    <row r="1047" customHeight="1" spans="1:18">
      <c r="A1047" s="116"/>
      <c r="B1047" s="97"/>
      <c r="C1047" s="118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</row>
    <row r="1048" customHeight="1" spans="1:18">
      <c r="A1048" s="116"/>
      <c r="B1048" s="97"/>
      <c r="C1048" s="118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</row>
    <row r="1049" customHeight="1" spans="1:18">
      <c r="A1049" s="116"/>
      <c r="B1049" s="97"/>
      <c r="C1049" s="118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</row>
    <row r="1050" customHeight="1" spans="1:18">
      <c r="A1050" s="116"/>
      <c r="B1050" s="97"/>
      <c r="C1050" s="118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</row>
    <row r="1051" customHeight="1" spans="1:18">
      <c r="A1051" s="116"/>
      <c r="B1051" s="97"/>
      <c r="C1051" s="118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</row>
    <row r="1052" customHeight="1" spans="1:18">
      <c r="A1052" s="116"/>
      <c r="B1052" s="97"/>
      <c r="C1052" s="118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</row>
    <row r="1053" customHeight="1" spans="1:18">
      <c r="A1053" s="116"/>
      <c r="B1053" s="97"/>
      <c r="C1053" s="118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</row>
    <row r="1054" customHeight="1" spans="1:18">
      <c r="A1054" s="116"/>
      <c r="B1054" s="97"/>
      <c r="C1054" s="118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</row>
    <row r="1055" customHeight="1" spans="1:18">
      <c r="A1055" s="116"/>
      <c r="B1055" s="97"/>
      <c r="C1055" s="118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</row>
    <row r="1056" customHeight="1" spans="1:18">
      <c r="A1056" s="116"/>
      <c r="B1056" s="97"/>
      <c r="C1056" s="118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</row>
    <row r="1057" customHeight="1" spans="1:18">
      <c r="A1057" s="116"/>
      <c r="B1057" s="97"/>
      <c r="C1057" s="118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</row>
    <row r="1058" customHeight="1" spans="1:18">
      <c r="A1058" s="116"/>
      <c r="B1058" s="97"/>
      <c r="C1058" s="118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</row>
    <row r="1059" customHeight="1" spans="1:18">
      <c r="A1059" s="116"/>
      <c r="B1059" s="97"/>
      <c r="C1059" s="118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</row>
    <row r="1060" customHeight="1" spans="1:18">
      <c r="A1060" s="116"/>
      <c r="B1060" s="97"/>
      <c r="C1060" s="118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</row>
    <row r="1061" customHeight="1" spans="1:18">
      <c r="A1061" s="116"/>
      <c r="B1061" s="97"/>
      <c r="C1061" s="118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</row>
    <row r="1062" customHeight="1" spans="1:18">
      <c r="A1062" s="116"/>
      <c r="B1062" s="97"/>
      <c r="C1062" s="118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</row>
    <row r="1063" customHeight="1" spans="1:18">
      <c r="A1063" s="116"/>
      <c r="B1063" s="97"/>
      <c r="C1063" s="118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</row>
    <row r="1064" customHeight="1" spans="1:18">
      <c r="A1064" s="116"/>
      <c r="B1064" s="97"/>
      <c r="C1064" s="118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</row>
  </sheetData>
  <mergeCells count="18">
    <mergeCell ref="B1:R1"/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A4:A7"/>
    <mergeCell ref="D4:D7"/>
    <mergeCell ref="Q5:Q6"/>
    <mergeCell ref="B4:C7"/>
    <mergeCell ref="B8:C10"/>
    <mergeCell ref="B11:C13"/>
    <mergeCell ref="B14:C16"/>
    <mergeCell ref="B17:C19"/>
  </mergeCells>
  <printOptions horizontalCentered="1"/>
  <pageMargins left="0.472222222222222" right="0.472222222222222" top="0.472222222222222" bottom="0.472222222222222" header="0.511811023622047" footer="0.511811023622047"/>
  <pageSetup paperSize="9" fitToHeight="0" pageOrder="overThenDown" orientation="landscape" horizontalDpi="300" verticalDpi="300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Y1050"/>
  <sheetViews>
    <sheetView workbookViewId="0">
      <selection activeCell="M30" sqref="M30"/>
    </sheetView>
  </sheetViews>
  <sheetFormatPr defaultColWidth="14.43" defaultRowHeight="15" customHeight="1"/>
  <cols>
    <col min="1" max="1" width="13" style="60" customWidth="1"/>
    <col min="2" max="2" width="18.04" style="60" customWidth="1"/>
    <col min="3" max="17" width="13" style="60" customWidth="1"/>
    <col min="18" max="24" width="13" style="60" hidden="1" customWidth="1"/>
    <col min="25" max="25" width="13" style="60" customWidth="1"/>
    <col min="26" max="16384" width="14.43" style="60"/>
  </cols>
  <sheetData>
    <row r="1" ht="13" spans="1:25">
      <c r="A1" s="61"/>
      <c r="B1" s="62"/>
      <c r="C1" s="62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4"/>
    </row>
    <row r="2" customHeight="1" spans="1:25">
      <c r="A2" s="61"/>
      <c r="B2" s="65" t="s">
        <v>1352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3"/>
      <c r="S2" s="63"/>
      <c r="T2" s="63"/>
      <c r="U2" s="63"/>
      <c r="V2" s="63"/>
      <c r="W2" s="63"/>
      <c r="X2" s="63"/>
      <c r="Y2" s="64"/>
    </row>
    <row r="3" ht="13" spans="1:25">
      <c r="A3" s="61"/>
      <c r="B3" s="62"/>
      <c r="C3" s="62"/>
      <c r="D3" s="62"/>
      <c r="E3" s="62"/>
      <c r="F3" s="62"/>
      <c r="G3" s="62"/>
      <c r="H3" s="62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4"/>
    </row>
    <row r="4" customHeight="1" spans="1:25">
      <c r="A4" s="66" t="s">
        <v>3</v>
      </c>
      <c r="B4" s="67" t="s">
        <v>24</v>
      </c>
      <c r="C4" s="67"/>
      <c r="D4" s="68" t="s">
        <v>1330</v>
      </c>
      <c r="E4" s="68" t="s">
        <v>1331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/>
      <c r="S4" s="69"/>
      <c r="T4" s="69"/>
      <c r="U4" s="69"/>
      <c r="V4" s="69"/>
      <c r="W4" s="69"/>
      <c r="X4" s="69"/>
      <c r="Y4" s="70"/>
    </row>
    <row r="5" customHeight="1" spans="1:25">
      <c r="A5" s="66"/>
      <c r="B5" s="67"/>
      <c r="C5" s="67"/>
      <c r="D5" s="68"/>
      <c r="E5" s="68" t="s">
        <v>1332</v>
      </c>
      <c r="F5" s="68"/>
      <c r="G5" s="68"/>
      <c r="H5" s="68"/>
      <c r="I5" s="68" t="s">
        <v>1333</v>
      </c>
      <c r="J5" s="68"/>
      <c r="K5" s="68" t="s">
        <v>1334</v>
      </c>
      <c r="L5" s="68"/>
      <c r="M5" s="68"/>
      <c r="N5" s="68"/>
      <c r="O5" s="68"/>
      <c r="P5" s="68"/>
      <c r="Q5" s="71" t="s">
        <v>1335</v>
      </c>
      <c r="R5" s="69"/>
      <c r="S5" s="69"/>
      <c r="T5" s="69"/>
      <c r="U5" s="69"/>
      <c r="V5" s="69"/>
      <c r="W5" s="69"/>
      <c r="X5" s="69"/>
      <c r="Y5" s="70"/>
    </row>
    <row r="6" customHeight="1" spans="1:25">
      <c r="A6" s="66"/>
      <c r="B6" s="67"/>
      <c r="C6" s="67"/>
      <c r="D6" s="68"/>
      <c r="E6" s="68" t="s">
        <v>1336</v>
      </c>
      <c r="F6" s="68" t="s">
        <v>1337</v>
      </c>
      <c r="G6" s="68" t="s">
        <v>1338</v>
      </c>
      <c r="H6" s="72" t="s">
        <v>1339</v>
      </c>
      <c r="I6" s="68" t="s">
        <v>1338</v>
      </c>
      <c r="J6" s="68"/>
      <c r="K6" s="68" t="s">
        <v>1340</v>
      </c>
      <c r="L6" s="68"/>
      <c r="M6" s="68" t="s">
        <v>1341</v>
      </c>
      <c r="N6" s="68"/>
      <c r="O6" s="72" t="s">
        <v>1339</v>
      </c>
      <c r="P6" s="72"/>
      <c r="Q6" s="71"/>
      <c r="R6" s="69"/>
      <c r="S6" s="69"/>
      <c r="T6" s="69"/>
      <c r="U6" s="69"/>
      <c r="V6" s="69"/>
      <c r="W6" s="69"/>
      <c r="X6" s="69"/>
      <c r="Y6" s="70"/>
    </row>
    <row r="7" ht="13" spans="1:25">
      <c r="A7" s="66"/>
      <c r="B7" s="67"/>
      <c r="C7" s="67"/>
      <c r="D7" s="68"/>
      <c r="E7" s="68" t="s">
        <v>1342</v>
      </c>
      <c r="F7" s="68" t="s">
        <v>1342</v>
      </c>
      <c r="G7" s="68" t="s">
        <v>1342</v>
      </c>
      <c r="H7" s="72" t="s">
        <v>1342</v>
      </c>
      <c r="I7" s="68" t="s">
        <v>1343</v>
      </c>
      <c r="J7" s="68" t="s">
        <v>1344</v>
      </c>
      <c r="K7" s="68" t="s">
        <v>1343</v>
      </c>
      <c r="L7" s="68" t="s">
        <v>1344</v>
      </c>
      <c r="M7" s="68" t="s">
        <v>1343</v>
      </c>
      <c r="N7" s="68" t="s">
        <v>1344</v>
      </c>
      <c r="O7" s="72" t="s">
        <v>1343</v>
      </c>
      <c r="P7" s="72" t="s">
        <v>1344</v>
      </c>
      <c r="Q7" s="71" t="s">
        <v>1345</v>
      </c>
      <c r="R7" s="69"/>
      <c r="S7" s="69"/>
      <c r="T7" s="69"/>
      <c r="U7" s="69"/>
      <c r="V7" s="69"/>
      <c r="W7" s="69"/>
      <c r="X7" s="69"/>
      <c r="Y7" s="70"/>
    </row>
    <row r="8" customHeight="1" spans="1:25">
      <c r="A8" s="73"/>
      <c r="B8" s="74" t="s">
        <v>352</v>
      </c>
      <c r="C8" s="74"/>
      <c r="D8" s="75" t="s">
        <v>1347</v>
      </c>
      <c r="E8" s="76">
        <v>0</v>
      </c>
      <c r="F8" s="76">
        <f>IFERROR(__xludf.dummyfunction("IMPORTRANGE(XLOOKUP($A$9,Dados_Esc_JAB_2026!$C$3:$C$848,Dados_Esc_JAB_2026!$E$3:$E$848),""ESCOLA!P14"")"),15)</f>
        <v>15</v>
      </c>
      <c r="G8" s="77">
        <f>IFERROR(__xludf.dummyfunction("IMPORTRANGE(XLOOKUP($A$9,Dados_Esc_JAB_2026!$C$3:$C$848,Dados_Esc_JAB_2026!$E$3:$E$848),""ESCOLA!P16"")"),40)</f>
        <v>40</v>
      </c>
      <c r="H8" s="78">
        <f>SUM(E8:G8)</f>
        <v>55</v>
      </c>
      <c r="I8" s="76">
        <v>0</v>
      </c>
      <c r="J8" s="76">
        <v>0</v>
      </c>
      <c r="K8" s="76">
        <f>IFERROR(__xludf.dummyfunction("IMPORTRANGE(XLOOKUP($A$9,Dados_Esc_JAB_2026!$C$3:$C$848,Dados_Esc_JAB_2026!$E$3:$E$848),""ESCOLA!D20"")"),20)</f>
        <v>20</v>
      </c>
      <c r="L8" s="76">
        <f>IFERROR(__xludf.dummyfunction("IMPORTRANGE(XLOOKUP($A$9,Dados_Esc_JAB_2026!$C$3:$C$848,Dados_Esc_JAB_2026!$E$3:$E$848),""ESCOLA!H20"")"),20)</f>
        <v>20</v>
      </c>
      <c r="M8" s="76">
        <f>IFERROR(__xludf.dummyfunction("IMPORTRANGE(XLOOKUP($A$9,Dados_Esc_JAB_2026!$C$3:$C$848,Dados_Esc_JAB_2026!$E$3:$E$848),""ESCOLA!D22"")"),20)</f>
        <v>20</v>
      </c>
      <c r="N8" s="76">
        <f>IFERROR(__xludf.dummyfunction("IMPORTRANGE(XLOOKUP($A$9,Dados_Esc_JAB_2026!$C$3:$C$848,Dados_Esc_JAB_2026!$E$3:$E$848),""ESCOLA!H22"")"),20)</f>
        <v>20</v>
      </c>
      <c r="O8" s="78">
        <f>SUM(I8,K8,M8)</f>
        <v>40</v>
      </c>
      <c r="P8" s="78">
        <f>SUM(J8,L8,N8)</f>
        <v>40</v>
      </c>
      <c r="Q8" s="79">
        <f>SUM(H8,O8,P8)</f>
        <v>135</v>
      </c>
      <c r="R8" s="80"/>
      <c r="S8" s="80"/>
      <c r="T8" s="80"/>
      <c r="U8" s="80"/>
      <c r="V8" s="80"/>
      <c r="W8" s="80"/>
      <c r="X8" s="80"/>
      <c r="Y8" s="3"/>
    </row>
    <row r="9" ht="26" spans="1:25">
      <c r="A9" s="73" t="s">
        <v>351</v>
      </c>
      <c r="B9" s="74"/>
      <c r="C9" s="74"/>
      <c r="D9" s="75" t="s">
        <v>1348</v>
      </c>
      <c r="E9" s="76">
        <f>IFERROR(__xludf.dummyfunction("IMPORTRANGE(XLOOKUP($A$9,Dados_Esc_JAB_2026!$C$3:$C$848,Dados_Esc_JAB_2026!$E$3:$E$848),""ESCOLA!Q12"")"),0)</f>
        <v>0</v>
      </c>
      <c r="F9" s="76">
        <f>IFERROR(__xludf.dummyfunction("IMPORTRANGE(XLOOKUP($A$9,Dados_Esc_JAB_2026!$C$3:$C$848,Dados_Esc_JAB_2026!$E$3:$E$848),""ESCOLA!Q14"")"),15)</f>
        <v>15</v>
      </c>
      <c r="G9" s="76">
        <f>IFERROR(__xludf.dummyfunction("IMPORTRANGE(XLOOKUP($A$9,Dados_Esc_JAB_2026!$C$3:$C$848,Dados_Esc_JAB_2026!$E$3:$E$848),""ESCOLA!Q16"")"),38)</f>
        <v>38</v>
      </c>
      <c r="H9" s="78">
        <f>SUM(E9:G9)</f>
        <v>53</v>
      </c>
      <c r="I9" s="76">
        <f>IFERROR(__xludf.dummyfunction("IMPORTRANGE(XLOOKUP($A$9,Dados_Esc_JAB_2026!$C$3:$C$848,Dados_Esc_JAB_2026!$E$3:$E$848),""ESCOLA!E18"")"),0)</f>
        <v>0</v>
      </c>
      <c r="J9" s="76">
        <f>IFERROR(__xludf.dummyfunction("IMPORTRANGE(XLOOKUP($A$9,Dados_Esc_JAB_2026!$C$3:$C$848,Dados_Esc_JAB_2026!$E$3:$E$848),""ESCOLA!I18"")"),0)</f>
        <v>0</v>
      </c>
      <c r="K9" s="76">
        <f>IFERROR(__xludf.dummyfunction("IMPORTRANGE(XLOOKUP($A$9,Dados_Esc_JAB_2026!$C$3:$C$848,Dados_Esc_JAB_2026!$E$3:$E$848),""ESCOLA!E20"")"),20)</f>
        <v>20</v>
      </c>
      <c r="L9" s="76">
        <f>IFERROR(__xludf.dummyfunction("IMPORTRANGE(XLOOKUP($A$9,Dados_Esc_JAB_2026!$C$3:$C$848,Dados_Esc_JAB_2026!$E$3:$E$848),""ESCOLA!I20"")"),16)</f>
        <v>16</v>
      </c>
      <c r="M9" s="76">
        <f>IFERROR(__xludf.dummyfunction("IMPORTRANGE(XLOOKUP($A$9,Dados_Esc_JAB_2026!$C$3:$C$848,Dados_Esc_JAB_2026!$E$3:$E$848),""ESCOLA!E22"")"),14)</f>
        <v>14</v>
      </c>
      <c r="N9" s="76">
        <f>IFERROR(__xludf.dummyfunction("IMPORTRANGE(XLOOKUP($A$9,Dados_Esc_JAB_2026!$C$3:$C$848,Dados_Esc_JAB_2026!$E$3:$E$848),""ESCOLA!I22"")"),19)</f>
        <v>19</v>
      </c>
      <c r="O9" s="78">
        <f>SUM(I9,K9,M9)</f>
        <v>34</v>
      </c>
      <c r="P9" s="78">
        <f>SUM(J9,L9,N9)</f>
        <v>35</v>
      </c>
      <c r="Q9" s="79">
        <f>SUM(H9,O9,P9)</f>
        <v>122</v>
      </c>
      <c r="R9" s="80"/>
      <c r="S9" s="80"/>
      <c r="T9" s="80"/>
      <c r="U9" s="80"/>
      <c r="V9" s="80"/>
      <c r="W9" s="80"/>
      <c r="X9" s="80"/>
      <c r="Y9" s="3"/>
    </row>
    <row r="10" ht="13" spans="1:25">
      <c r="A10" s="73"/>
      <c r="B10" s="74"/>
      <c r="C10" s="74"/>
      <c r="D10" s="81" t="s">
        <v>1349</v>
      </c>
      <c r="E10" s="82">
        <f t="shared" ref="E10:Q10" si="0">SUM(E8-E9)</f>
        <v>0</v>
      </c>
      <c r="F10" s="82">
        <f t="shared" si="0"/>
        <v>0</v>
      </c>
      <c r="G10" s="82">
        <f t="shared" si="0"/>
        <v>2</v>
      </c>
      <c r="H10" s="82">
        <f t="shared" si="0"/>
        <v>2</v>
      </c>
      <c r="I10" s="82">
        <f t="shared" si="0"/>
        <v>0</v>
      </c>
      <c r="J10" s="82">
        <f t="shared" si="0"/>
        <v>0</v>
      </c>
      <c r="K10" s="82">
        <f t="shared" si="0"/>
        <v>0</v>
      </c>
      <c r="L10" s="82">
        <f t="shared" si="0"/>
        <v>4</v>
      </c>
      <c r="M10" s="82">
        <f t="shared" si="0"/>
        <v>6</v>
      </c>
      <c r="N10" s="82">
        <f t="shared" si="0"/>
        <v>1</v>
      </c>
      <c r="O10" s="82">
        <f t="shared" si="0"/>
        <v>6</v>
      </c>
      <c r="P10" s="82">
        <f t="shared" si="0"/>
        <v>5</v>
      </c>
      <c r="Q10" s="82">
        <f t="shared" si="0"/>
        <v>13</v>
      </c>
      <c r="R10" s="80"/>
      <c r="S10" s="80"/>
      <c r="T10" s="80"/>
      <c r="U10" s="80"/>
      <c r="V10" s="80"/>
      <c r="W10" s="80"/>
      <c r="X10" s="80"/>
      <c r="Y10" s="3"/>
    </row>
    <row r="11" customHeight="1" spans="1:25">
      <c r="A11" s="73"/>
      <c r="B11" s="74" t="s">
        <v>1353</v>
      </c>
      <c r="C11" s="74"/>
      <c r="D11" s="75" t="s">
        <v>1347</v>
      </c>
      <c r="E11" s="77">
        <f>IFERROR(__xludf.dummyfunction("IMPORTRANGE(XLOOKUP($A$12,Dados_Esc_JAB_2026!$C$3:$C$848,Dados_Esc_JAB_2026!$E$3:$E$848),""ESCOLA!P12"")"),30)</f>
        <v>30</v>
      </c>
      <c r="F11" s="77">
        <f>IFERROR(__xludf.dummyfunction("IMPORTRANGE(XLOOKUP($A$12,Dados_Esc_JAB_2026!$C$3:$C$848,Dados_Esc_JAB_2026!$E$3:$E$848),""ESCOLA!P14"")"),30)</f>
        <v>30</v>
      </c>
      <c r="G11" s="77">
        <f>IFERROR(__xludf.dummyfunction("IMPORTRANGE(XLOOKUP($A$12,Dados_Esc_JAB_2026!$C$3:$C$848,Dados_Esc_JAB_2026!$E$3:$E$848),""ESCOLA!P16"")"),40)</f>
        <v>40</v>
      </c>
      <c r="H11" s="78">
        <f>SUM(E11:G11)</f>
        <v>100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8">
        <f>SUM(I11,K11,M11)</f>
        <v>0</v>
      </c>
      <c r="P11" s="78">
        <f>SUM(J11,L11,N11)</f>
        <v>0</v>
      </c>
      <c r="Q11" s="79">
        <f>SUM(H11,O11,P11)</f>
        <v>100</v>
      </c>
      <c r="R11" s="80"/>
      <c r="S11" s="80"/>
      <c r="T11" s="80"/>
      <c r="U11" s="80"/>
      <c r="V11" s="80"/>
      <c r="W11" s="80"/>
      <c r="X11" s="80"/>
      <c r="Y11" s="3"/>
    </row>
    <row r="12" ht="26" spans="1:25">
      <c r="A12" s="73" t="s">
        <v>368</v>
      </c>
      <c r="B12" s="74"/>
      <c r="C12" s="74"/>
      <c r="D12" s="75" t="s">
        <v>1348</v>
      </c>
      <c r="E12" s="76">
        <f>IFERROR(__xludf.dummyfunction("IMPORTRANGE(XLOOKUP($A$12,Dados_Esc_JAB_2026!$C$3:$C$848,Dados_Esc_JAB_2026!$E$3:$E$848),""ESCOLA!Q12"")"),30)</f>
        <v>30</v>
      </c>
      <c r="F12" s="76">
        <f>IFERROR(__xludf.dummyfunction("IMPORTRANGE(XLOOKUP($A$12,Dados_Esc_JAB_2026!$C$3:$C$848,Dados_Esc_JAB_2026!$E$3:$E$848),""ESCOLA!Q14"")"),29)</f>
        <v>29</v>
      </c>
      <c r="G12" s="77">
        <f>IFERROR(__xludf.dummyfunction("IMPORTRANGE(XLOOKUP($A$12,Dados_Esc_JAB_2026!$C$3:$C$848,Dados_Esc_JAB_2026!$E$3:$E$848),""ESCOLA!Q15"")"),2)</f>
        <v>2</v>
      </c>
      <c r="H12" s="78">
        <f>SUM(E12:G12)</f>
        <v>61</v>
      </c>
      <c r="I12" s="76">
        <f>IFERROR(__xludf.dummyfunction("IMPORTRANGE(XLOOKUP($A$12,Dados_Esc_JAB_2026!$C$3:$C$848,Dados_Esc_JAB_2026!$E$3:$E$848),""ESCOLA!E18"")"),0)</f>
        <v>0</v>
      </c>
      <c r="J12" s="76">
        <f>IFERROR(__xludf.dummyfunction("IMPORTRANGE(XLOOKUP($A$12,Dados_Esc_JAB_2026!$C$3:$C$848,Dados_Esc_JAB_2026!$E$3:$E$848),""ESCOLA!I18"")"),0)</f>
        <v>0</v>
      </c>
      <c r="K12" s="76">
        <f>IFERROR(__xludf.dummyfunction("IMPORTRANGE(XLOOKUP($A$12,Dados_Esc_JAB_2026!$C$3:$C$848,Dados_Esc_JAB_2026!$E$3:$E$848),""ESCOLA!E20"")"),0)</f>
        <v>0</v>
      </c>
      <c r="L12" s="76">
        <f>IFERROR(__xludf.dummyfunction("IMPORTRANGE(XLOOKUP($A$12,Dados_Esc_JAB_2026!$C$3:$C$848,Dados_Esc_JAB_2026!$E$3:$E$848),""ESCOLA!I20"")"),0)</f>
        <v>0</v>
      </c>
      <c r="M12" s="76">
        <f>IFERROR(__xludf.dummyfunction("IMPORTRANGE(XLOOKUP($A$12,Dados_Esc_JAB_2026!$C$3:$C$848,Dados_Esc_JAB_2026!$E$3:$E$848),""ESCOLA!E22"")"),0)</f>
        <v>0</v>
      </c>
      <c r="N12" s="76">
        <f>IFERROR(__xludf.dummyfunction("IMPORTRANGE(XLOOKUP($A$12,Dados_Esc_JAB_2026!$C$3:$C$848,Dados_Esc_JAB_2026!$E$3:$E$848),""ESCOLA!I22"")"),0)</f>
        <v>0</v>
      </c>
      <c r="O12" s="78">
        <f>SUM(I12,K12,M12)</f>
        <v>0</v>
      </c>
      <c r="P12" s="78">
        <f>SUM(J12,L12,N12)</f>
        <v>0</v>
      </c>
      <c r="Q12" s="79">
        <f>SUM(H12,O12,P12)</f>
        <v>61</v>
      </c>
      <c r="R12" s="80"/>
      <c r="S12" s="80"/>
      <c r="T12" s="80"/>
      <c r="U12" s="80"/>
      <c r="V12" s="80"/>
      <c r="W12" s="80"/>
      <c r="X12" s="80"/>
      <c r="Y12" s="3"/>
    </row>
    <row r="13" ht="13" spans="1:25">
      <c r="A13" s="73"/>
      <c r="B13" s="74"/>
      <c r="C13" s="74"/>
      <c r="D13" s="81" t="s">
        <v>1349</v>
      </c>
      <c r="E13" s="82">
        <f t="shared" ref="E13:Q13" si="1">SUM(E11-E12)</f>
        <v>0</v>
      </c>
      <c r="F13" s="82">
        <f t="shared" si="1"/>
        <v>1</v>
      </c>
      <c r="G13" s="82">
        <f t="shared" si="1"/>
        <v>38</v>
      </c>
      <c r="H13" s="82">
        <f t="shared" si="1"/>
        <v>39</v>
      </c>
      <c r="I13" s="82">
        <f t="shared" si="1"/>
        <v>0</v>
      </c>
      <c r="J13" s="82">
        <f t="shared" si="1"/>
        <v>0</v>
      </c>
      <c r="K13" s="82">
        <f t="shared" si="1"/>
        <v>0</v>
      </c>
      <c r="L13" s="82">
        <f t="shared" si="1"/>
        <v>0</v>
      </c>
      <c r="M13" s="82">
        <f t="shared" si="1"/>
        <v>0</v>
      </c>
      <c r="N13" s="82">
        <f t="shared" si="1"/>
        <v>0</v>
      </c>
      <c r="O13" s="82">
        <f t="shared" si="1"/>
        <v>0</v>
      </c>
      <c r="P13" s="82">
        <f t="shared" si="1"/>
        <v>0</v>
      </c>
      <c r="Q13" s="82">
        <f t="shared" si="1"/>
        <v>39</v>
      </c>
      <c r="R13" s="80"/>
      <c r="S13" s="80"/>
      <c r="T13" s="80"/>
      <c r="U13" s="80"/>
      <c r="V13" s="80"/>
      <c r="W13" s="80"/>
      <c r="X13" s="80"/>
      <c r="Y13" s="3"/>
    </row>
    <row r="14" customHeight="1" spans="1:25">
      <c r="A14" s="73"/>
      <c r="B14" s="74" t="s">
        <v>1354</v>
      </c>
      <c r="C14" s="74"/>
      <c r="D14" s="75" t="s">
        <v>1347</v>
      </c>
      <c r="E14" s="76">
        <f>IFERROR(__xludf.dummyfunction("IMPORTRANGE(XLOOKUP($A$15,Dados_Esc_JAB_2026!$C$3:$C$848,Dados_Esc_JAB_2026!$E$3:$E$848),""ESCOLA!P12"")"),15)</f>
        <v>15</v>
      </c>
      <c r="F14" s="76">
        <f>IFERROR(__xludf.dummyfunction("IMPORTRANGE(XLOOKUP($A$15,Dados_Esc_JAB_2026!$C$3:$C$848,Dados_Esc_JAB_2026!$E$3:$E$848),""ESCOLA!P14"")"),30)</f>
        <v>30</v>
      </c>
      <c r="G14" s="76">
        <f>IFERROR(__xludf.dummyfunction("IMPORTRANGE(XLOOKUP($A$15,Dados_Esc_JAB_2026!$C$3:$C$848,Dados_Esc_JAB_2026!$E$3:$E$848),""ESCOLA!P16"")"),20)</f>
        <v>20</v>
      </c>
      <c r="H14" s="78">
        <f>SUM(E14:G14)</f>
        <v>65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8">
        <f>SUM(I14,K14,M14)</f>
        <v>0</v>
      </c>
      <c r="P14" s="78">
        <f>SUM(J14,L14,N14)</f>
        <v>0</v>
      </c>
      <c r="Q14" s="79">
        <f>SUM(H14,O14,P14)</f>
        <v>65</v>
      </c>
      <c r="R14" s="80"/>
      <c r="S14" s="80"/>
      <c r="T14" s="80"/>
      <c r="U14" s="80"/>
      <c r="V14" s="80"/>
      <c r="W14" s="80"/>
      <c r="X14" s="80"/>
      <c r="Y14" s="3"/>
    </row>
    <row r="15" ht="26" spans="1:25">
      <c r="A15" s="73" t="s">
        <v>377</v>
      </c>
      <c r="B15" s="74"/>
      <c r="C15" s="74"/>
      <c r="D15" s="75" t="s">
        <v>1348</v>
      </c>
      <c r="E15" s="76">
        <f>IFERROR(__xludf.dummyfunction("IMPORTRANGE(XLOOKUP($A$15,Dados_Esc_JAB_2026!$C$3:$C$848,Dados_Esc_JAB_2026!$E$3:$E$848),""ESCOLA!Q12"")"),15)</f>
        <v>15</v>
      </c>
      <c r="F15" s="76">
        <f>IFERROR(__xludf.dummyfunction("IMPORTRANGE(XLOOKUP($A$15,Dados_Esc_JAB_2026!$C$3:$C$848,Dados_Esc_JAB_2026!$E$3:$E$848),""ESCOLA!Q14"")"),29)</f>
        <v>29</v>
      </c>
      <c r="G15" s="76">
        <f>IFERROR(__xludf.dummyfunction("IMPORTRANGE(XLOOKUP($A$15,Dados_Esc_JAB_2026!$C$3:$C$848,Dados_Esc_JAB_2026!$E$3:$E$848),""ESCOLA!Q16"")"),19)</f>
        <v>19</v>
      </c>
      <c r="H15" s="78">
        <f>SUM(E15:G15)</f>
        <v>63</v>
      </c>
      <c r="I15" s="76">
        <f>IFERROR(__xludf.dummyfunction("IMPORTRANGE(XLOOKUP($A$15,Dados_Esc_JAB_2026!$C$3:$C$848,Dados_Esc_JAB_2026!$E$3:$E$848),""ESCOLA!E18"")"),0)</f>
        <v>0</v>
      </c>
      <c r="J15" s="76">
        <f>IFERROR(__xludf.dummyfunction("IMPORTRANGE(XLOOKUP($A$15,Dados_Esc_JAB_2026!$C$3:$C$848,Dados_Esc_JAB_2026!$E$3:$E$848),""ESCOLA!I18"")"),0)</f>
        <v>0</v>
      </c>
      <c r="K15" s="76">
        <f>IFERROR(__xludf.dummyfunction("IMPORTRANGE(XLOOKUP($A$15,Dados_Esc_JAB_2026!$C$3:$C$848,Dados_Esc_JAB_2026!$E$3:$E$848),""ESCOLA!E20"")"),0)</f>
        <v>0</v>
      </c>
      <c r="L15" s="76">
        <f>IFERROR(__xludf.dummyfunction("IMPORTRANGE(XLOOKUP($A$15,Dados_Esc_JAB_2026!$C$3:$C$848,Dados_Esc_JAB_2026!$E$3:$E$848),""ESCOLA!I20"")"),0)</f>
        <v>0</v>
      </c>
      <c r="M15" s="76">
        <f>IFERROR(__xludf.dummyfunction("IMPORTRANGE(XLOOKUP($A$15,Dados_Esc_JAB_2026!$C$3:$C$848,Dados_Esc_JAB_2026!$E$3:$E$848),""ESCOLA!E22"")"),0)</f>
        <v>0</v>
      </c>
      <c r="N15" s="76">
        <f>IFERROR(__xludf.dummyfunction("IMPORTRANGE(XLOOKUP($A$15,Dados_Esc_JAB_2026!$C$3:$C$848,Dados_Esc_JAB_2026!$E$3:$E$848),""ESCOLA!I22"")"),0)</f>
        <v>0</v>
      </c>
      <c r="O15" s="78">
        <v>0</v>
      </c>
      <c r="P15" s="78">
        <f>SUM(J15,L15,N15)</f>
        <v>0</v>
      </c>
      <c r="Q15" s="79">
        <f>SUM(H15,O15,P15)</f>
        <v>63</v>
      </c>
      <c r="R15" s="80"/>
      <c r="S15" s="80"/>
      <c r="T15" s="80"/>
      <c r="U15" s="80"/>
      <c r="V15" s="80"/>
      <c r="W15" s="80"/>
      <c r="X15" s="80"/>
      <c r="Y15" s="3"/>
    </row>
    <row r="16" ht="13" spans="1:25">
      <c r="A16" s="73"/>
      <c r="B16" s="74"/>
      <c r="C16" s="74"/>
      <c r="D16" s="81" t="s">
        <v>1349</v>
      </c>
      <c r="E16" s="82">
        <f t="shared" ref="E16:Q16" si="2">SUM(E14-E15)</f>
        <v>0</v>
      </c>
      <c r="F16" s="82">
        <f t="shared" si="2"/>
        <v>1</v>
      </c>
      <c r="G16" s="82">
        <f t="shared" si="2"/>
        <v>1</v>
      </c>
      <c r="H16" s="82">
        <f t="shared" si="2"/>
        <v>2</v>
      </c>
      <c r="I16" s="82">
        <f t="shared" si="2"/>
        <v>0</v>
      </c>
      <c r="J16" s="82">
        <f t="shared" si="2"/>
        <v>0</v>
      </c>
      <c r="K16" s="82">
        <f t="shared" si="2"/>
        <v>0</v>
      </c>
      <c r="L16" s="82">
        <f t="shared" si="2"/>
        <v>0</v>
      </c>
      <c r="M16" s="82">
        <f t="shared" si="2"/>
        <v>0</v>
      </c>
      <c r="N16" s="82">
        <f t="shared" si="2"/>
        <v>0</v>
      </c>
      <c r="O16" s="82">
        <f t="shared" si="2"/>
        <v>0</v>
      </c>
      <c r="P16" s="82">
        <f t="shared" si="2"/>
        <v>0</v>
      </c>
      <c r="Q16" s="82">
        <f t="shared" si="2"/>
        <v>2</v>
      </c>
      <c r="R16" s="80"/>
      <c r="S16" s="80"/>
      <c r="T16" s="80"/>
      <c r="U16" s="80"/>
      <c r="V16" s="80"/>
      <c r="W16" s="80"/>
      <c r="X16" s="80"/>
      <c r="Y16" s="3"/>
    </row>
    <row r="17" ht="13" spans="1:25">
      <c r="A17" s="61"/>
      <c r="B17" s="62"/>
      <c r="C17" s="62"/>
      <c r="D17" s="62"/>
      <c r="E17" s="62"/>
      <c r="F17" s="62"/>
      <c r="G17" s="62"/>
      <c r="H17" s="62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4"/>
    </row>
    <row r="18" ht="13" spans="1:25">
      <c r="A18" s="61"/>
      <c r="B18" s="62"/>
      <c r="C18" s="62"/>
      <c r="D18" s="62"/>
      <c r="E18" s="62"/>
      <c r="F18" s="62"/>
      <c r="G18" s="62"/>
      <c r="H18" s="62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4"/>
    </row>
    <row r="19" ht="13" spans="1:25">
      <c r="A19" s="61"/>
      <c r="B19" s="62"/>
      <c r="C19" s="62"/>
      <c r="D19" s="62"/>
      <c r="E19" s="62"/>
      <c r="F19" s="62"/>
      <c r="G19" s="62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4"/>
    </row>
    <row r="20" ht="26" spans="1:25">
      <c r="A20" s="83" t="s">
        <v>23</v>
      </c>
      <c r="B20" s="84" t="s">
        <v>15</v>
      </c>
      <c r="C20" s="85" t="s">
        <v>1351</v>
      </c>
      <c r="D20" s="85" t="s">
        <v>16</v>
      </c>
      <c r="E20" s="85" t="s">
        <v>17</v>
      </c>
      <c r="F20" s="85" t="s">
        <v>11</v>
      </c>
      <c r="G20" s="86" t="s">
        <v>18</v>
      </c>
      <c r="H20" s="86" t="s">
        <v>19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</row>
    <row r="21" ht="15.75" customHeight="1" spans="1:25">
      <c r="A21" s="88" t="str">
        <f t="shared" ref="A21:A48" si="3">IF(B21&lt;&gt;"","REGIONAL 2","")</f>
        <v>REGIONAL 2</v>
      </c>
      <c r="B21" s="89" t="str">
        <f>IFERROR(__xludf.dummyfunction("QUERY(dados_02!$A$2:$H$675, ""SELECT Col1, Col2, Col3, Col4, Col5, Col6, Col7  where Col8 = 'REGIONAL 2' "")"),"09/07/2026 20:11:39")</f>
        <v>09/07/2026 20:11:39</v>
      </c>
      <c r="C21" s="90" t="str">
        <f>IFERROR(__xludf.dummyfunction("""COMPUTED_VALUE"""),"1")</f>
        <v>1</v>
      </c>
      <c r="D21" s="69" t="str">
        <f>IFERROR(__xludf.dummyfunction("""COMPUTED_VALUE"""),"M. C. V. D. S")</f>
        <v>M. C. V. D. S</v>
      </c>
      <c r="E21" s="91" t="str">
        <f>IFERROR(__xludf.dummyfunction("""COMPUTED_VALUE"""),"02/06/2023")</f>
        <v>02/06/2023</v>
      </c>
      <c r="F21" s="69" t="str">
        <f>IFERROR(__xludf.dummyfunction("""COMPUTED_VALUE"""),"185******05")</f>
        <v>185******05</v>
      </c>
      <c r="G21" s="69" t="str">
        <f>IFERROR(__xludf.dummyfunction("""COMPUTED_VALUE"""),"INFANTIL 2")</f>
        <v>INFANTIL 2</v>
      </c>
      <c r="H21" s="70" t="str">
        <f>IFERROR(__xludf.dummyfunction("""COMPUTED_VALUE"""),"CEMEI LUIZ FERNANDO DE CARVALHO ARCOVERDE")</f>
        <v>CEMEI LUIZ FERNANDO DE CARVALHO ARCOVERDE</v>
      </c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</row>
    <row r="22" ht="15.75" customHeight="1" spans="1:25">
      <c r="A22" s="88" t="str">
        <f t="shared" si="3"/>
        <v>REGIONAL 2</v>
      </c>
      <c r="B22" s="89" t="str">
        <f>IFERROR(__xludf.dummyfunction("""COMPUTED_VALUE"""),"24/07/2026 16:57:07")</f>
        <v>24/07/2026 16:57:07</v>
      </c>
      <c r="C22" s="90" t="str">
        <f>IFERROR(__xludf.dummyfunction("""COMPUTED_VALUE"""),"2")</f>
        <v>2</v>
      </c>
      <c r="D22" s="69" t="str">
        <f>IFERROR(__xludf.dummyfunction("""COMPUTED_VALUE"""),"I. l. M. d. N")</f>
        <v>I. l. M. d. N</v>
      </c>
      <c r="E22" s="91" t="str">
        <f>IFERROR(__xludf.dummyfunction("""COMPUTED_VALUE"""),"11/12/2023")</f>
        <v>11/12/2023</v>
      </c>
      <c r="F22" s="69" t="str">
        <f>IFERROR(__xludf.dummyfunction("""COMPUTED_VALUE"""),"001******69")</f>
        <v>001******69</v>
      </c>
      <c r="G22" s="69" t="str">
        <f>IFERROR(__xludf.dummyfunction("""COMPUTED_VALUE"""),"INFANTIL 2")</f>
        <v>INFANTIL 2</v>
      </c>
      <c r="H22" s="70" t="str">
        <f>IFERROR(__xludf.dummyfunction("""COMPUTED_VALUE"""),"CEMEI LUIZ FERNANDO DE CARVALHO ARCOVERDE")</f>
        <v>CEMEI LUIZ FERNANDO DE CARVALHO ARCOVERDE</v>
      </c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</row>
    <row r="23" ht="15.75" customHeight="1" spans="1:25">
      <c r="A23" s="88" t="str">
        <f t="shared" si="3"/>
        <v>REGIONAL 2</v>
      </c>
      <c r="B23" s="89" t="str">
        <f>IFERROR(__xludf.dummyfunction("""COMPUTED_VALUE"""),"25/02/2026 12:49:56")</f>
        <v>25/02/2026 12:49:56</v>
      </c>
      <c r="C23" s="90" t="str">
        <f>IFERROR(__xludf.dummyfunction("""COMPUTED_VALUE"""),"1")</f>
        <v>1</v>
      </c>
      <c r="D23" s="69" t="str">
        <f>IFERROR(__xludf.dummyfunction("""COMPUTED_VALUE"""),"C")</f>
        <v>C</v>
      </c>
      <c r="E23" s="91" t="str">
        <f>IFERROR(__xludf.dummyfunction("""COMPUTED_VALUE"""),"03/07/2025")</f>
        <v>03/07/2025</v>
      </c>
      <c r="F23" s="69" t="str">
        <f>IFERROR(__xludf.dummyfunction("""COMPUTED_VALUE"""),"006******51")</f>
        <v>006******51</v>
      </c>
      <c r="G23" s="69" t="str">
        <f>IFERROR(__xludf.dummyfunction("""COMPUTED_VALUE"""),"INFANTIL 1")</f>
        <v>INFANTIL 1</v>
      </c>
      <c r="H23" s="70" t="str">
        <f>IFERROR(__xludf.dummyfunction("""COMPUTED_VALUE"""),"CRECHE ALAYDE MARIA DA CONCEICAO")</f>
        <v>CRECHE ALAYDE MARIA DA CONCEICAO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</row>
    <row r="24" ht="15.75" customHeight="1" spans="1:25">
      <c r="A24" s="88" t="str">
        <f t="shared" si="3"/>
        <v>REGIONAL 2</v>
      </c>
      <c r="B24" s="89" t="str">
        <f>IFERROR(__xludf.dummyfunction("""COMPUTED_VALUE"""),"25/03/2026 16:34:54")</f>
        <v>25/03/2026 16:34:54</v>
      </c>
      <c r="C24" s="90" t="str">
        <f>IFERROR(__xludf.dummyfunction("""COMPUTED_VALUE"""),"2")</f>
        <v>2</v>
      </c>
      <c r="D24" s="69" t="str">
        <f>IFERROR(__xludf.dummyfunction("""COMPUTED_VALUE"""),"D. A. D. S")</f>
        <v>D. A. D. S</v>
      </c>
      <c r="E24" s="91" t="str">
        <f>IFERROR(__xludf.dummyfunction("""COMPUTED_VALUE"""),"27/05/2025")</f>
        <v>27/05/2025</v>
      </c>
      <c r="F24" s="69" t="str">
        <f>IFERROR(__xludf.dummyfunction("""COMPUTED_VALUE"""),"003******10")</f>
        <v>003******10</v>
      </c>
      <c r="G24" s="69" t="str">
        <f>IFERROR(__xludf.dummyfunction("""COMPUTED_VALUE"""),"INFANTIL 1")</f>
        <v>INFANTIL 1</v>
      </c>
      <c r="H24" s="70" t="str">
        <f>IFERROR(__xludf.dummyfunction("""COMPUTED_VALUE"""),"CRECHE ALAYDE MARIA DA CONCEICAO")</f>
        <v>CRECHE ALAYDE MARIA DA CONCEICAO</v>
      </c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</row>
    <row r="25" ht="15.75" customHeight="1" spans="1:25">
      <c r="A25" s="88" t="str">
        <f t="shared" si="3"/>
        <v>REGIONAL 2</v>
      </c>
      <c r="B25" s="69" t="str">
        <f>IFERROR(__xludf.dummyfunction("""COMPUTED_VALUE"""),"18/06/2026 11:42:52")</f>
        <v>18/06/2026 11:42:52</v>
      </c>
      <c r="C25" s="90" t="str">
        <f>IFERROR(__xludf.dummyfunction("""COMPUTED_VALUE"""),"3")</f>
        <v>3</v>
      </c>
      <c r="D25" s="69" t="str">
        <f>IFERROR(__xludf.dummyfunction("""COMPUTED_VALUE"""),"H. S. S. d. S")</f>
        <v>H. S. S. d. S</v>
      </c>
      <c r="E25" s="69" t="str">
        <f>IFERROR(__xludf.dummyfunction("""COMPUTED_VALUE"""),"04/04/2025")</f>
        <v>04/04/2025</v>
      </c>
      <c r="F25" s="69" t="str">
        <f>IFERROR(__xludf.dummyfunction("""COMPUTED_VALUE"""),"005******23")</f>
        <v>005******23</v>
      </c>
      <c r="G25" s="69" t="str">
        <f>IFERROR(__xludf.dummyfunction("""COMPUTED_VALUE"""),"INFANTIL 1")</f>
        <v>INFANTIL 1</v>
      </c>
      <c r="H25" s="70" t="str">
        <f>IFERROR(__xludf.dummyfunction("""COMPUTED_VALUE"""),"CRECHE ALAYDE MARIA DA CONCEICAO")</f>
        <v>CRECHE ALAYDE MARIA DA CONCEICAO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</row>
    <row r="26" ht="15.75" customHeight="1" spans="1:25">
      <c r="A26" s="88" t="str">
        <f t="shared" si="3"/>
        <v>REGIONAL 2</v>
      </c>
      <c r="B26" s="69" t="str">
        <f>IFERROR(__xludf.dummyfunction("""COMPUTED_VALUE"""),"23/06/2026 08:34:26")</f>
        <v>23/06/2026 08:34:26</v>
      </c>
      <c r="C26" s="90" t="str">
        <f>IFERROR(__xludf.dummyfunction("""COMPUTED_VALUE"""),"4")</f>
        <v>4</v>
      </c>
      <c r="D26" s="69" t="str">
        <f>IFERROR(__xludf.dummyfunction("""COMPUTED_VALUE"""),"E. S. p. d. O")</f>
        <v>E. S. p. d. O</v>
      </c>
      <c r="E26" s="69" t="str">
        <f>IFERROR(__xludf.dummyfunction("""COMPUTED_VALUE"""),"08/07/2024")</f>
        <v>08/07/2024</v>
      </c>
      <c r="F26" s="69" t="str">
        <f>IFERROR(__xludf.dummyfunction("""COMPUTED_VALUE"""),"003******67")</f>
        <v>003******67</v>
      </c>
      <c r="G26" s="69" t="str">
        <f>IFERROR(__xludf.dummyfunction("""COMPUTED_VALUE"""),"INFANTIL 1")</f>
        <v>INFANTIL 1</v>
      </c>
      <c r="H26" s="70" t="str">
        <f>IFERROR(__xludf.dummyfunction("""COMPUTED_VALUE"""),"CRECHE ALAYDE MARIA DA CONCEICAO")</f>
        <v>CRECHE ALAYDE MARIA DA CONCEICAO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</row>
    <row r="27" ht="15.75" customHeight="1" spans="1:25">
      <c r="A27" s="88" t="str">
        <f t="shared" si="3"/>
        <v>REGIONAL 2</v>
      </c>
      <c r="B27" s="69" t="str">
        <f>IFERROR(__xludf.dummyfunction("""COMPUTED_VALUE"""),"04/08/2026 21:58:49")</f>
        <v>04/08/2026 21:58:49</v>
      </c>
      <c r="C27" s="90" t="str">
        <f>IFERROR(__xludf.dummyfunction("""COMPUTED_VALUE"""),"5")</f>
        <v>5</v>
      </c>
      <c r="D27" s="69" t="str">
        <f>IFERROR(__xludf.dummyfunction("""COMPUTED_VALUE"""),"V. R. d. S. C")</f>
        <v>V. R. d. S. C</v>
      </c>
      <c r="E27" s="69" t="str">
        <f>IFERROR(__xludf.dummyfunction("""COMPUTED_VALUE"""),"28/02/2025")</f>
        <v>28/02/2025</v>
      </c>
      <c r="F27" s="69" t="str">
        <f>IFERROR(__xludf.dummyfunction("""COMPUTED_VALUE"""),"005******61")</f>
        <v>005******61</v>
      </c>
      <c r="G27" s="69" t="str">
        <f>IFERROR(__xludf.dummyfunction("""COMPUTED_VALUE"""),"INFANTIL 1")</f>
        <v>INFANTIL 1</v>
      </c>
      <c r="H27" s="70" t="str">
        <f>IFERROR(__xludf.dummyfunction("""COMPUTED_VALUE"""),"CRECHE ALAYDE MARIA DA CONCEICAO")</f>
        <v>CRECHE ALAYDE MARIA DA CONCEICAO</v>
      </c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</row>
    <row r="28" ht="15.75" customHeight="1" spans="1:25">
      <c r="A28" s="88" t="str">
        <f t="shared" si="3"/>
        <v>REGIONAL 2</v>
      </c>
      <c r="B28" s="69" t="str">
        <f>IFERROR(__xludf.dummyfunction("""COMPUTED_VALUE"""),"19/03/2026 10:36:55")</f>
        <v>19/03/2026 10:36:55</v>
      </c>
      <c r="C28" s="90" t="str">
        <f>IFERROR(__xludf.dummyfunction("""COMPUTED_VALUE"""),"1")</f>
        <v>1</v>
      </c>
      <c r="D28" s="69" t="str">
        <f>IFERROR(__xludf.dummyfunction("""COMPUTED_VALUE"""),"E. E. M. D. L")</f>
        <v>E. E. M. D. L</v>
      </c>
      <c r="E28" s="69" t="str">
        <f>IFERROR(__xludf.dummyfunction("""COMPUTED_VALUE"""),"21/04/2023")</f>
        <v>21/04/2023</v>
      </c>
      <c r="F28" s="69" t="str">
        <f>IFERROR(__xludf.dummyfunction("""COMPUTED_VALUE"""),"185******93")</f>
        <v>185******93</v>
      </c>
      <c r="G28" s="69" t="str">
        <f>IFERROR(__xludf.dummyfunction("""COMPUTED_VALUE"""),"INFANTIL 2")</f>
        <v>INFANTIL 2</v>
      </c>
      <c r="H28" s="70" t="str">
        <f>IFERROR(__xludf.dummyfunction("""COMPUTED_VALUE"""),"CRECHE ALAYDE MARIA DA CONCEICAO")</f>
        <v>CRECHE ALAYDE MARIA DA CONCEICAO</v>
      </c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</row>
    <row r="29" ht="15.75" customHeight="1" spans="1:25">
      <c r="A29" s="88" t="str">
        <f t="shared" si="3"/>
        <v>REGIONAL 2</v>
      </c>
      <c r="B29" s="69" t="str">
        <f>IFERROR(__xludf.dummyfunction("""COMPUTED_VALUE"""),"31/03/2026 12:14:35")</f>
        <v>31/03/2026 12:14:35</v>
      </c>
      <c r="C29" s="90" t="str">
        <f>IFERROR(__xludf.dummyfunction("""COMPUTED_VALUE"""),"2")</f>
        <v>2</v>
      </c>
      <c r="D29" s="69" t="str">
        <f>IFERROR(__xludf.dummyfunction("""COMPUTED_VALUE"""),"H. D. A. F")</f>
        <v>H. D. A. F</v>
      </c>
      <c r="E29" s="69" t="str">
        <f>IFERROR(__xludf.dummyfunction("""COMPUTED_VALUE"""),"04/03/2024")</f>
        <v>04/03/2024</v>
      </c>
      <c r="F29" s="69" t="str">
        <f>IFERROR(__xludf.dummyfunction("""COMPUTED_VALUE"""),"002******10")</f>
        <v>002******10</v>
      </c>
      <c r="G29" s="69" t="str">
        <f>IFERROR(__xludf.dummyfunction("""COMPUTED_VALUE"""),"INFANTIL 2")</f>
        <v>INFANTIL 2</v>
      </c>
      <c r="H29" s="70" t="str">
        <f>IFERROR(__xludf.dummyfunction("""COMPUTED_VALUE"""),"CRECHE ALAYDE MARIA DA CONCEICAO")</f>
        <v>CRECHE ALAYDE MARIA DA CONCEICAO</v>
      </c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</row>
    <row r="30" ht="15.75" customHeight="1" spans="1:25">
      <c r="A30" s="88" t="str">
        <f t="shared" si="3"/>
        <v>REGIONAL 2</v>
      </c>
      <c r="B30" s="69" t="str">
        <f>IFERROR(__xludf.dummyfunction("""COMPUTED_VALUE"""),"27/04/2026 15:51:32")</f>
        <v>27/04/2026 15:51:32</v>
      </c>
      <c r="C30" s="90" t="str">
        <f>IFERROR(__xludf.dummyfunction("""COMPUTED_VALUE"""),"3")</f>
        <v>3</v>
      </c>
      <c r="D30" s="69" t="str">
        <f>IFERROR(__xludf.dummyfunction("""COMPUTED_VALUE"""),"E. F. M. D. S. R")</f>
        <v>E. F. M. D. S. R</v>
      </c>
      <c r="E30" s="69" t="str">
        <f>IFERROR(__xludf.dummyfunction("""COMPUTED_VALUE"""),"11/02/2024")</f>
        <v>11/02/2024</v>
      </c>
      <c r="F30" s="69" t="str">
        <f>IFERROR(__xludf.dummyfunction("""COMPUTED_VALUE"""),"001******22")</f>
        <v>001******22</v>
      </c>
      <c r="G30" s="69" t="str">
        <f>IFERROR(__xludf.dummyfunction("""COMPUTED_VALUE"""),"INFANTIL 2")</f>
        <v>INFANTIL 2</v>
      </c>
      <c r="H30" s="70" t="str">
        <f>IFERROR(__xludf.dummyfunction("""COMPUTED_VALUE"""),"CRECHE ALAYDE MARIA DA CONCEICAO")</f>
        <v>CRECHE ALAYDE MARIA DA CONCEICAO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</row>
    <row r="31" ht="15.75" customHeight="1" spans="1:25">
      <c r="A31" s="88" t="str">
        <f t="shared" si="3"/>
        <v>REGIONAL 2</v>
      </c>
      <c r="B31" s="69" t="str">
        <f>IFERROR(__xludf.dummyfunction("""COMPUTED_VALUE"""),"26/02/2026 09:33:21")</f>
        <v>26/02/2026 09:33:21</v>
      </c>
      <c r="C31" s="90" t="str">
        <f>IFERROR(__xludf.dummyfunction("""COMPUTED_VALUE"""),"1")</f>
        <v>1</v>
      </c>
      <c r="D31" s="69" t="str">
        <f>IFERROR(__xludf.dummyfunction("""COMPUTED_VALUE"""),"M. L. S. D. S")</f>
        <v>M. L. S. D. S</v>
      </c>
      <c r="E31" s="69" t="str">
        <f>IFERROR(__xludf.dummyfunction("""COMPUTED_VALUE"""),"20/07/2024")</f>
        <v>20/07/2024</v>
      </c>
      <c r="F31" s="69" t="str">
        <f>IFERROR(__xludf.dummyfunction("""COMPUTED_VALUE"""),"003******16")</f>
        <v>003******16</v>
      </c>
      <c r="G31" s="69" t="str">
        <f>IFERROR(__xludf.dummyfunction("""COMPUTED_VALUE"""),"INFANTIL 1")</f>
        <v>INFANTIL 1</v>
      </c>
      <c r="H31" s="70" t="str">
        <f>IFERROR(__xludf.dummyfunction("""COMPUTED_VALUE"""),"CRECHE PROFESSORA LEDA MARIA QUEIROZ DO REGO BARROS")</f>
        <v>CRECHE PROFESSORA LEDA MARIA QUEIROZ DO REGO BARROS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</row>
    <row r="32" ht="15.75" customHeight="1" spans="1:25">
      <c r="A32" s="88" t="str">
        <f t="shared" si="3"/>
        <v>REGIONAL 2</v>
      </c>
      <c r="B32" s="69" t="str">
        <f>IFERROR(__xludf.dummyfunction("""COMPUTED_VALUE"""),"05/04/2026 16:11:06")</f>
        <v>05/04/2026 16:11:06</v>
      </c>
      <c r="C32" s="90" t="str">
        <f>IFERROR(__xludf.dummyfunction("""COMPUTED_VALUE"""),"2")</f>
        <v>2</v>
      </c>
      <c r="D32" s="69" t="str">
        <f>IFERROR(__xludf.dummyfunction("""COMPUTED_VALUE"""),"T. N. F. G")</f>
        <v>T. N. F. G</v>
      </c>
      <c r="E32" s="69" t="str">
        <f>IFERROR(__xludf.dummyfunction("""COMPUTED_VALUE"""),"27/09/2024")</f>
        <v>27/09/2024</v>
      </c>
      <c r="F32" s="69" t="str">
        <f>IFERROR(__xludf.dummyfunction("""COMPUTED_VALUE"""),"004******13")</f>
        <v>004******13</v>
      </c>
      <c r="G32" s="69" t="str">
        <f>IFERROR(__xludf.dummyfunction("""COMPUTED_VALUE"""),"INFANTIL 1")</f>
        <v>INFANTIL 1</v>
      </c>
      <c r="H32" s="70" t="str">
        <f>IFERROR(__xludf.dummyfunction("""COMPUTED_VALUE"""),"CRECHE PROFESSORA LEDA MARIA QUEIROZ DO REGO BARROS")</f>
        <v>CRECHE PROFESSORA LEDA MARIA QUEIROZ DO REGO BARROS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</row>
    <row r="33" ht="15.75" customHeight="1" spans="1:25">
      <c r="A33" s="88" t="str">
        <f t="shared" si="3"/>
        <v>REGIONAL 2</v>
      </c>
      <c r="B33" s="69" t="str">
        <f>IFERROR(__xludf.dummyfunction("""COMPUTED_VALUE"""),"25/05/2026 11:20:13")</f>
        <v>25/05/2026 11:20:13</v>
      </c>
      <c r="C33" s="90" t="str">
        <f>IFERROR(__xludf.dummyfunction("""COMPUTED_VALUE"""),"3")</f>
        <v>3</v>
      </c>
      <c r="D33" s="69" t="str">
        <f>IFERROR(__xludf.dummyfunction("""COMPUTED_VALUE"""),"M. C. M. D. S")</f>
        <v>M. C. M. D. S</v>
      </c>
      <c r="E33" s="69" t="str">
        <f>IFERROR(__xludf.dummyfunction("""COMPUTED_VALUE"""),"22/04/2024")</f>
        <v>22/04/2024</v>
      </c>
      <c r="F33" s="69" t="str">
        <f>IFERROR(__xludf.dummyfunction("""COMPUTED_VALUE"""),"003******40")</f>
        <v>003******40</v>
      </c>
      <c r="G33" s="69" t="str">
        <f>IFERROR(__xludf.dummyfunction("""COMPUTED_VALUE"""),"INFANTIL 1")</f>
        <v>INFANTIL 1</v>
      </c>
      <c r="H33" s="70" t="str">
        <f>IFERROR(__xludf.dummyfunction("""COMPUTED_VALUE"""),"CRECHE PROFESSORA LEDA MARIA QUEIROZ DO REGO BARROS")</f>
        <v>CRECHE PROFESSORA LEDA MARIA QUEIROZ DO REGO BARROS</v>
      </c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</row>
    <row r="34" ht="15.75" customHeight="1" spans="1:25">
      <c r="A34" s="88" t="str">
        <f t="shared" si="3"/>
        <v>REGIONAL 2</v>
      </c>
      <c r="B34" s="69" t="str">
        <f>IFERROR(__xludf.dummyfunction("""COMPUTED_VALUE"""),"01/06/2026 12:02:51")</f>
        <v>01/06/2026 12:02:51</v>
      </c>
      <c r="C34" s="90" t="str">
        <f>IFERROR(__xludf.dummyfunction("""COMPUTED_VALUE"""),"4")</f>
        <v>4</v>
      </c>
      <c r="D34" s="69" t="str">
        <f>IFERROR(__xludf.dummyfunction("""COMPUTED_VALUE"""),"R. V. V. M. d. S")</f>
        <v>R. V. V. M. d. S</v>
      </c>
      <c r="E34" s="69" t="str">
        <f>IFERROR(__xludf.dummyfunction("""COMPUTED_VALUE"""),"18/03/2025")</f>
        <v>18/03/2025</v>
      </c>
      <c r="F34" s="69" t="str">
        <f>IFERROR(__xludf.dummyfunction("""COMPUTED_VALUE"""),"005******43")</f>
        <v>005******43</v>
      </c>
      <c r="G34" s="69" t="str">
        <f>IFERROR(__xludf.dummyfunction("""COMPUTED_VALUE"""),"INFANTIL 1")</f>
        <v>INFANTIL 1</v>
      </c>
      <c r="H34" s="70" t="str">
        <f>IFERROR(__xludf.dummyfunction("""COMPUTED_VALUE"""),"CRECHE PROFESSORA LEDA MARIA QUEIROZ DO REGO BARROS")</f>
        <v>CRECHE PROFESSORA LEDA MARIA QUEIROZ DO REGO BARROS</v>
      </c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</row>
    <row r="35" ht="15.75" customHeight="1" spans="1:25">
      <c r="A35" s="88" t="str">
        <f t="shared" si="3"/>
        <v>REGIONAL 2</v>
      </c>
      <c r="B35" s="69" t="str">
        <f>IFERROR(__xludf.dummyfunction("""COMPUTED_VALUE"""),"01/07/2026 10:11:32")</f>
        <v>01/07/2026 10:11:32</v>
      </c>
      <c r="C35" s="90" t="str">
        <f>IFERROR(__xludf.dummyfunction("""COMPUTED_VALUE"""),"5")</f>
        <v>5</v>
      </c>
      <c r="D35" s="69" t="str">
        <f>IFERROR(__xludf.dummyfunction("""COMPUTED_VALUE"""),"M. A. A. S")</f>
        <v>M. A. A. S</v>
      </c>
      <c r="E35" s="69" t="str">
        <f>IFERROR(__xludf.dummyfunction("""COMPUTED_VALUE"""),"06/01/2026")</f>
        <v>06/01/2026</v>
      </c>
      <c r="F35" s="69" t="str">
        <f>IFERROR(__xludf.dummyfunction("""COMPUTED_VALUE"""),"046******68")</f>
        <v>046******68</v>
      </c>
      <c r="G35" s="69" t="str">
        <f>IFERROR(__xludf.dummyfunction("""COMPUTED_VALUE"""),"INFANTIL 1")</f>
        <v>INFANTIL 1</v>
      </c>
      <c r="H35" s="70" t="str">
        <f>IFERROR(__xludf.dummyfunction("""COMPUTED_VALUE"""),"CRECHE PROFESSORA LEDA MARIA QUEIROZ DO REGO BARROS")</f>
        <v>CRECHE PROFESSORA LEDA MARIA QUEIROZ DO REGO BARROS</v>
      </c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</row>
    <row r="36" ht="15.75" customHeight="1" spans="1:25">
      <c r="A36" s="88" t="str">
        <f t="shared" si="3"/>
        <v>REGIONAL 2</v>
      </c>
      <c r="B36" s="69" t="str">
        <f>IFERROR(__xludf.dummyfunction("""COMPUTED_VALUE"""),"02/07/2026 10:44:55")</f>
        <v>02/07/2026 10:44:55</v>
      </c>
      <c r="C36" s="90" t="str">
        <f>IFERROR(__xludf.dummyfunction("""COMPUTED_VALUE"""),"6")</f>
        <v>6</v>
      </c>
      <c r="D36" s="69" t="str">
        <f>IFERROR(__xludf.dummyfunction("""COMPUTED_VALUE"""),"S. c. v. d. S. l")</f>
        <v>S. c. v. d. S. l</v>
      </c>
      <c r="E36" s="69" t="str">
        <f>IFERROR(__xludf.dummyfunction("""COMPUTED_VALUE"""),"20/09/2024")</f>
        <v>20/09/2024</v>
      </c>
      <c r="F36" s="69" t="str">
        <f>IFERROR(__xludf.dummyfunction("""COMPUTED_VALUE"""),"004******62")</f>
        <v>004******62</v>
      </c>
      <c r="G36" s="69" t="str">
        <f>IFERROR(__xludf.dummyfunction("""COMPUTED_VALUE"""),"INFANTIL 1")</f>
        <v>INFANTIL 1</v>
      </c>
      <c r="H36" s="70" t="str">
        <f>IFERROR(__xludf.dummyfunction("""COMPUTED_VALUE"""),"CRECHE PROFESSORA LEDA MARIA QUEIROZ DO REGO BARROS")</f>
        <v>CRECHE PROFESSORA LEDA MARIA QUEIROZ DO REGO BARROS</v>
      </c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</row>
    <row r="37" ht="15.75" customHeight="1" spans="1:25">
      <c r="A37" s="88" t="str">
        <f t="shared" si="3"/>
        <v>REGIONAL 2</v>
      </c>
      <c r="B37" s="69" t="str">
        <f>IFERROR(__xludf.dummyfunction("""COMPUTED_VALUE"""),"16/07/2026 01:57:54")</f>
        <v>16/07/2026 01:57:54</v>
      </c>
      <c r="C37" s="90" t="str">
        <f>IFERROR(__xludf.dummyfunction("""COMPUTED_VALUE"""),"7")</f>
        <v>7</v>
      </c>
      <c r="D37" s="69" t="str">
        <f>IFERROR(__xludf.dummyfunction("""COMPUTED_VALUE"""),"M. H. O. d. L")</f>
        <v>M. H. O. d. L</v>
      </c>
      <c r="E37" s="69" t="str">
        <f>IFERROR(__xludf.dummyfunction("""COMPUTED_VALUE"""),"27/08/2025")</f>
        <v>27/08/2025</v>
      </c>
      <c r="F37" s="69" t="str">
        <f>IFERROR(__xludf.dummyfunction("""COMPUTED_VALUE"""),"007******62")</f>
        <v>007******62</v>
      </c>
      <c r="G37" s="69" t="str">
        <f>IFERROR(__xludf.dummyfunction("""COMPUTED_VALUE"""),"INFANTIL 1")</f>
        <v>INFANTIL 1</v>
      </c>
      <c r="H37" s="70" t="str">
        <f>IFERROR(__xludf.dummyfunction("""COMPUTED_VALUE"""),"CRECHE PROFESSORA LEDA MARIA QUEIROZ DO REGO BARROS")</f>
        <v>CRECHE PROFESSORA LEDA MARIA QUEIROZ DO REGO BARROS</v>
      </c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ht="15.75" customHeight="1" spans="1:25">
      <c r="A38" s="88" t="str">
        <f t="shared" si="3"/>
        <v>REGIONAL 2</v>
      </c>
      <c r="B38" s="69" t="str">
        <f>IFERROR(__xludf.dummyfunction("""COMPUTED_VALUE"""),"23/07/2026 18:19:52")</f>
        <v>23/07/2026 18:19:52</v>
      </c>
      <c r="C38" s="90" t="str">
        <f>IFERROR(__xludf.dummyfunction("""COMPUTED_VALUE"""),"8")</f>
        <v>8</v>
      </c>
      <c r="D38" s="69" t="str">
        <f>IFERROR(__xludf.dummyfunction("""COMPUTED_VALUE"""),"G. E. J. d. C")</f>
        <v>G. E. J. d. C</v>
      </c>
      <c r="E38" s="69" t="str">
        <f>IFERROR(__xludf.dummyfunction("""COMPUTED_VALUE"""),"07/04/2025")</f>
        <v>07/04/2025</v>
      </c>
      <c r="F38" s="69" t="str">
        <f>IFERROR(__xludf.dummyfunction("""COMPUTED_VALUE"""),"005******74")</f>
        <v>005******74</v>
      </c>
      <c r="G38" s="69" t="str">
        <f>IFERROR(__xludf.dummyfunction("""COMPUTED_VALUE"""),"INFANTIL 1")</f>
        <v>INFANTIL 1</v>
      </c>
      <c r="H38" s="70" t="str">
        <f>IFERROR(__xludf.dummyfunction("""COMPUTED_VALUE"""),"CRECHE PROFESSORA LEDA MARIA QUEIROZ DO REGO BARROS")</f>
        <v>CRECHE PROFESSORA LEDA MARIA QUEIROZ DO REGO BARROS</v>
      </c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</row>
    <row r="39" ht="15.75" customHeight="1" spans="1:25">
      <c r="A39" s="88" t="str">
        <f t="shared" si="3"/>
        <v>REGIONAL 2</v>
      </c>
      <c r="B39" s="69" t="str">
        <f>IFERROR(__xludf.dummyfunction("""COMPUTED_VALUE"""),"21/09/2026 09:50:34")</f>
        <v>21/09/2026 09:50:34</v>
      </c>
      <c r="C39" s="90" t="str">
        <f>IFERROR(__xludf.dummyfunction("""COMPUTED_VALUE"""),"9")</f>
        <v>9</v>
      </c>
      <c r="D39" s="69" t="str">
        <f>IFERROR(__xludf.dummyfunction("""COMPUTED_VALUE"""),"R. H. F. s. d. S")</f>
        <v>R. H. F. s. d. S</v>
      </c>
      <c r="E39" s="69" t="str">
        <f>IFERROR(__xludf.dummyfunction("""COMPUTED_VALUE"""),"16/03/2025")</f>
        <v>16/03/2025</v>
      </c>
      <c r="F39" s="69" t="str">
        <f>IFERROR(__xludf.dummyfunction("""COMPUTED_VALUE"""),"005******50")</f>
        <v>005******50</v>
      </c>
      <c r="G39" s="69" t="str">
        <f>IFERROR(__xludf.dummyfunction("""COMPUTED_VALUE"""),"INFANTIL 1")</f>
        <v>INFANTIL 1</v>
      </c>
      <c r="H39" s="70" t="str">
        <f>IFERROR(__xludf.dummyfunction("""COMPUTED_VALUE"""),"CRECHE PROFESSORA LEDA MARIA QUEIROZ DO REGO BARROS")</f>
        <v>CRECHE PROFESSORA LEDA MARIA QUEIROZ DO REGO BARROS</v>
      </c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</row>
    <row r="40" ht="15.75" customHeight="1" spans="1:25">
      <c r="A40" s="88" t="str">
        <f t="shared" si="3"/>
        <v>REGIONAL 2</v>
      </c>
      <c r="B40" s="69" t="str">
        <f>IFERROR(__xludf.dummyfunction("""COMPUTED_VALUE"""),"02/02/2026 18:41:44")</f>
        <v>02/02/2026 18:41:44</v>
      </c>
      <c r="C40" s="90" t="str">
        <f>IFERROR(__xludf.dummyfunction("""COMPUTED_VALUE"""),"1")</f>
        <v>1</v>
      </c>
      <c r="D40" s="69" t="str">
        <f>IFERROR(__xludf.dummyfunction("""COMPUTED_VALUE"""),"Y. K. D. S. P")</f>
        <v>Y. K. D. S. P</v>
      </c>
      <c r="E40" s="69" t="str">
        <f>IFERROR(__xludf.dummyfunction("""COMPUTED_VALUE"""),"24/06/2023")</f>
        <v>24/06/2023</v>
      </c>
      <c r="F40" s="69" t="str">
        <f>IFERROR(__xludf.dummyfunction("""COMPUTED_VALUE"""),"185******44")</f>
        <v>185******44</v>
      </c>
      <c r="G40" s="69" t="str">
        <f>IFERROR(__xludf.dummyfunction("""COMPUTED_VALUE"""),"INFANTIL 2")</f>
        <v>INFANTIL 2</v>
      </c>
      <c r="H40" s="70" t="str">
        <f>IFERROR(__xludf.dummyfunction("""COMPUTED_VALUE"""),"CRECHE PROFESSORA LEDA MARIA QUEIROZ DO REGO BARROS")</f>
        <v>CRECHE PROFESSORA LEDA MARIA QUEIROZ DO REGO BARROS</v>
      </c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</row>
    <row r="41" ht="15.75" customHeight="1" spans="1:25">
      <c r="A41" s="88" t="str">
        <f t="shared" si="3"/>
        <v>REGIONAL 2</v>
      </c>
      <c r="B41" s="69" t="str">
        <f>IFERROR(__xludf.dummyfunction("""COMPUTED_VALUE"""),"09/02/2026 08:20:49")</f>
        <v>09/02/2026 08:20:49</v>
      </c>
      <c r="C41" s="90" t="str">
        <f>IFERROR(__xludf.dummyfunction("""COMPUTED_VALUE"""),"2")</f>
        <v>2</v>
      </c>
      <c r="D41" s="69" t="str">
        <f>IFERROR(__xludf.dummyfunction("""COMPUTED_VALUE"""),"T. R. D. S")</f>
        <v>T. R. D. S</v>
      </c>
      <c r="E41" s="69" t="str">
        <f>IFERROR(__xludf.dummyfunction("""COMPUTED_VALUE"""),"10/03/2024")</f>
        <v>10/03/2024</v>
      </c>
      <c r="F41" s="69" t="str">
        <f>IFERROR(__xludf.dummyfunction("""COMPUTED_VALUE"""),"002******98")</f>
        <v>002******98</v>
      </c>
      <c r="G41" s="69" t="str">
        <f>IFERROR(__xludf.dummyfunction("""COMPUTED_VALUE"""),"INFANTIL 2")</f>
        <v>INFANTIL 2</v>
      </c>
      <c r="H41" s="70" t="str">
        <f>IFERROR(__xludf.dummyfunction("""COMPUTED_VALUE"""),"CRECHE PROFESSORA LEDA MARIA QUEIROZ DO REGO BARROS")</f>
        <v>CRECHE PROFESSORA LEDA MARIA QUEIROZ DO REGO BARROS</v>
      </c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</row>
    <row r="42" ht="15.75" customHeight="1" spans="1:25">
      <c r="A42" s="88" t="str">
        <f t="shared" si="3"/>
        <v>REGIONAL 2</v>
      </c>
      <c r="B42" s="69" t="str">
        <f>IFERROR(__xludf.dummyfunction("""COMPUTED_VALUE"""),"09/03/2026 10:20:55")</f>
        <v>09/03/2026 10:20:55</v>
      </c>
      <c r="C42" s="90" t="str">
        <f>IFERROR(__xludf.dummyfunction("""COMPUTED_VALUE"""),"3")</f>
        <v>3</v>
      </c>
      <c r="D42" s="69" t="str">
        <f>IFERROR(__xludf.dummyfunction("""COMPUTED_VALUE"""),"S. J. D. S. A")</f>
        <v>S. J. D. S. A</v>
      </c>
      <c r="E42" s="69" t="str">
        <f>IFERROR(__xludf.dummyfunction("""COMPUTED_VALUE"""),"19/06/2023")</f>
        <v>19/06/2023</v>
      </c>
      <c r="F42" s="69" t="str">
        <f>IFERROR(__xludf.dummyfunction("""COMPUTED_VALUE"""),"185******81")</f>
        <v>185******81</v>
      </c>
      <c r="G42" s="69" t="str">
        <f>IFERROR(__xludf.dummyfunction("""COMPUTED_VALUE"""),"INFANTIL 2")</f>
        <v>INFANTIL 2</v>
      </c>
      <c r="H42" s="70" t="str">
        <f>IFERROR(__xludf.dummyfunction("""COMPUTED_VALUE"""),"CRECHE PROFESSORA LEDA MARIA QUEIROZ DO REGO BARROS")</f>
        <v>CRECHE PROFESSORA LEDA MARIA QUEIROZ DO REGO BARROS</v>
      </c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</row>
    <row r="43" ht="15.75" customHeight="1" spans="1:25">
      <c r="A43" s="88" t="str">
        <f t="shared" si="3"/>
        <v>REGIONAL 2</v>
      </c>
      <c r="B43" s="69" t="str">
        <f>IFERROR(__xludf.dummyfunction("""COMPUTED_VALUE"""),"10/04/2026 02:09:34")</f>
        <v>10/04/2026 02:09:34</v>
      </c>
      <c r="C43" s="90" t="str">
        <f>IFERROR(__xludf.dummyfunction("""COMPUTED_VALUE"""),"4")</f>
        <v>4</v>
      </c>
      <c r="D43" s="69" t="str">
        <f>IFERROR(__xludf.dummyfunction("""COMPUTED_VALUE"""),"S. R. S. D. N")</f>
        <v>S. R. S. D. N</v>
      </c>
      <c r="E43" s="69" t="str">
        <f>IFERROR(__xludf.dummyfunction("""COMPUTED_VALUE"""),"10/08/2023")</f>
        <v>10/08/2023</v>
      </c>
      <c r="F43" s="69" t="str">
        <f>IFERROR(__xludf.dummyfunction("""COMPUTED_VALUE"""),"186******67")</f>
        <v>186******67</v>
      </c>
      <c r="G43" s="69" t="str">
        <f>IFERROR(__xludf.dummyfunction("""COMPUTED_VALUE"""),"INFANTIL 2")</f>
        <v>INFANTIL 2</v>
      </c>
      <c r="H43" s="70" t="str">
        <f>IFERROR(__xludf.dummyfunction("""COMPUTED_VALUE"""),"CRECHE PROFESSORA LEDA MARIA QUEIROZ DO REGO BARROS")</f>
        <v>CRECHE PROFESSORA LEDA MARIA QUEIROZ DO REGO BARROS</v>
      </c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</row>
    <row r="44" ht="15.75" customHeight="1" spans="1:25">
      <c r="A44" s="88" t="str">
        <f t="shared" si="3"/>
        <v>REGIONAL 2</v>
      </c>
      <c r="B44" s="69" t="str">
        <f>IFERROR(__xludf.dummyfunction("""COMPUTED_VALUE"""),"22/04/2026 11:52:44")</f>
        <v>22/04/2026 11:52:44</v>
      </c>
      <c r="C44" s="90" t="str">
        <f>IFERROR(__xludf.dummyfunction("""COMPUTED_VALUE"""),"5")</f>
        <v>5</v>
      </c>
      <c r="D44" s="69" t="str">
        <f>IFERROR(__xludf.dummyfunction("""COMPUTED_VALUE"""),"H. M. F")</f>
        <v>H. M. F</v>
      </c>
      <c r="E44" s="69" t="str">
        <f>IFERROR(__xludf.dummyfunction("""COMPUTED_VALUE"""),"15/07/2023")</f>
        <v>15/07/2023</v>
      </c>
      <c r="F44" s="69" t="str">
        <f>IFERROR(__xludf.dummyfunction("""COMPUTED_VALUE"""),"186******47")</f>
        <v>186******47</v>
      </c>
      <c r="G44" s="69" t="str">
        <f>IFERROR(__xludf.dummyfunction("""COMPUTED_VALUE"""),"INFANTIL 2")</f>
        <v>INFANTIL 2</v>
      </c>
      <c r="H44" s="70" t="str">
        <f>IFERROR(__xludf.dummyfunction("""COMPUTED_VALUE"""),"CRECHE PROFESSORA LEDA MARIA QUEIROZ DO REGO BARROS")</f>
        <v>CRECHE PROFESSORA LEDA MARIA QUEIROZ DO REGO BARROS</v>
      </c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</row>
    <row r="45" ht="15.75" customHeight="1" spans="1:25">
      <c r="A45" s="88" t="str">
        <f t="shared" si="3"/>
        <v>REGIONAL 2</v>
      </c>
      <c r="B45" s="69" t="str">
        <f>IFERROR(__xludf.dummyfunction("""COMPUTED_VALUE"""),"01/07/2026 14:38:50")</f>
        <v>01/07/2026 14:38:50</v>
      </c>
      <c r="C45" s="90" t="str">
        <f>IFERROR(__xludf.dummyfunction("""COMPUTED_VALUE"""),"6")</f>
        <v>6</v>
      </c>
      <c r="D45" s="69" t="str">
        <f>IFERROR(__xludf.dummyfunction("""COMPUTED_VALUE"""),"A. l. D. F. V. C")</f>
        <v>A. l. D. F. V. C</v>
      </c>
      <c r="E45" s="69" t="str">
        <f>IFERROR(__xludf.dummyfunction("""COMPUTED_VALUE"""),"20/05/2023")</f>
        <v>20/05/2023</v>
      </c>
      <c r="F45" s="69" t="str">
        <f>IFERROR(__xludf.dummyfunction("""COMPUTED_VALUE"""),"185******08")</f>
        <v>185******08</v>
      </c>
      <c r="G45" s="69" t="str">
        <f>IFERROR(__xludf.dummyfunction("""COMPUTED_VALUE"""),"INFANTIL 2")</f>
        <v>INFANTIL 2</v>
      </c>
      <c r="H45" s="70" t="str">
        <f>IFERROR(__xludf.dummyfunction("""COMPUTED_VALUE"""),"CRECHE PROFESSORA LEDA MARIA QUEIROZ DO REGO BARROS")</f>
        <v>CRECHE PROFESSORA LEDA MARIA QUEIROZ DO REGO BARROS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</row>
    <row r="46" ht="15.75" customHeight="1" spans="1:25">
      <c r="A46" s="88" t="str">
        <f t="shared" si="3"/>
        <v>REGIONAL 2</v>
      </c>
      <c r="B46" s="69" t="str">
        <f>IFERROR(__xludf.dummyfunction("""COMPUTED_VALUE"""),"03/09/2026 16:47:49")</f>
        <v>03/09/2026 16:47:49</v>
      </c>
      <c r="C46" s="90" t="str">
        <f>IFERROR(__xludf.dummyfunction("""COMPUTED_VALUE"""),"7")</f>
        <v>7</v>
      </c>
      <c r="D46" s="69" t="str">
        <f>IFERROR(__xludf.dummyfunction("""COMPUTED_VALUE"""),"E. s. c. d. c")</f>
        <v>E. s. c. d. c</v>
      </c>
      <c r="E46" s="69" t="str">
        <f>IFERROR(__xludf.dummyfunction("""COMPUTED_VALUE"""),"20/11/2023")</f>
        <v>20/11/2023</v>
      </c>
      <c r="F46" s="69" t="str">
        <f>IFERROR(__xludf.dummyfunction("""COMPUTED_VALUE"""),"001******61")</f>
        <v>001******61</v>
      </c>
      <c r="G46" s="69" t="str">
        <f>IFERROR(__xludf.dummyfunction("""COMPUTED_VALUE"""),"INFANTIL 2")</f>
        <v>INFANTIL 2</v>
      </c>
      <c r="H46" s="70" t="str">
        <f>IFERROR(__xludf.dummyfunction("""COMPUTED_VALUE"""),"CRECHE PROFESSORA LEDA MARIA QUEIROZ DO REGO BARROS")</f>
        <v>CRECHE PROFESSORA LEDA MARIA QUEIROZ DO REGO BARROS</v>
      </c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ht="15.75" customHeight="1" spans="1:25">
      <c r="A47" s="88" t="str">
        <f t="shared" si="3"/>
        <v>REGIONAL 2</v>
      </c>
      <c r="B47" s="69" t="str">
        <f>IFERROR(__xludf.dummyfunction("""COMPUTED_VALUE"""),"10/09/2026 21:06:59")</f>
        <v>10/09/2026 21:06:59</v>
      </c>
      <c r="C47" s="90" t="str">
        <f>IFERROR(__xludf.dummyfunction("""COMPUTED_VALUE"""),"8")</f>
        <v>8</v>
      </c>
      <c r="D47" s="69" t="str">
        <f>IFERROR(__xludf.dummyfunction("""COMPUTED_VALUE"""),"À. S. A. D. S")</f>
        <v>À. S. A. D. S</v>
      </c>
      <c r="E47" s="69" t="str">
        <f>IFERROR(__xludf.dummyfunction("""COMPUTED_VALUE"""),"29/12/2023")</f>
        <v>29/12/2023</v>
      </c>
      <c r="F47" s="69" t="str">
        <f>IFERROR(__xludf.dummyfunction("""COMPUTED_VALUE"""),"001******62")</f>
        <v>001******62</v>
      </c>
      <c r="G47" s="69" t="str">
        <f>IFERROR(__xludf.dummyfunction("""COMPUTED_VALUE"""),"INFANTIL 2")</f>
        <v>INFANTIL 2</v>
      </c>
      <c r="H47" s="70" t="str">
        <f>IFERROR(__xludf.dummyfunction("""COMPUTED_VALUE"""),"CRECHE PROFESSORA LEDA MARIA QUEIROZ DO REGO BARROS")</f>
        <v>CRECHE PROFESSORA LEDA MARIA QUEIROZ DO REGO BARROS</v>
      </c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</row>
    <row r="48" ht="15.75" customHeight="1" spans="1:25">
      <c r="A48" s="88" t="str">
        <f t="shared" si="3"/>
        <v>REGIONAL 2</v>
      </c>
      <c r="B48" s="69" t="str">
        <f>IFERROR(__xludf.dummyfunction("""COMPUTED_VALUE"""),"10/09/2026 21:43:57")</f>
        <v>10/09/2026 21:43:57</v>
      </c>
      <c r="C48" s="90" t="str">
        <f>IFERROR(__xludf.dummyfunction("""COMPUTED_VALUE"""),"9")</f>
        <v>9</v>
      </c>
      <c r="D48" s="69" t="str">
        <f>IFERROR(__xludf.dummyfunction("""COMPUTED_VALUE"""),"M. R. L. B")</f>
        <v>M. R. L. B</v>
      </c>
      <c r="E48" s="69" t="str">
        <f>IFERROR(__xludf.dummyfunction("""COMPUTED_VALUE"""),"10/03/2024")</f>
        <v>10/03/2024</v>
      </c>
      <c r="F48" s="69" t="str">
        <f>IFERROR(__xludf.dummyfunction("""COMPUTED_VALUE"""),"002******95")</f>
        <v>002******95</v>
      </c>
      <c r="G48" s="69" t="str">
        <f>IFERROR(__xludf.dummyfunction("""COMPUTED_VALUE"""),"INFANTIL 2")</f>
        <v>INFANTIL 2</v>
      </c>
      <c r="H48" s="70" t="str">
        <f>IFERROR(__xludf.dummyfunction("""COMPUTED_VALUE"""),"CRECHE PROFESSORA LEDA MARIA QUEIROZ DO REGO BARROS")</f>
        <v>CRECHE PROFESSORA LEDA MARIA QUEIROZ DO REGO BARROS</v>
      </c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ht="15.75" customHeight="1" spans="1:25">
      <c r="A49" s="88"/>
      <c r="B49" s="69"/>
      <c r="C49" s="90"/>
      <c r="D49" s="69"/>
      <c r="E49" s="69"/>
      <c r="F49" s="69"/>
      <c r="G49" s="69"/>
      <c r="H49" s="70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</row>
    <row r="50" ht="15.75" customHeight="1" spans="1:25">
      <c r="A50" s="88"/>
      <c r="B50" s="69"/>
      <c r="C50" s="90"/>
      <c r="D50" s="69"/>
      <c r="E50" s="69"/>
      <c r="F50" s="69"/>
      <c r="G50" s="69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</row>
    <row r="51" ht="15.75" customHeight="1" spans="1:25">
      <c r="A51" s="88"/>
      <c r="B51" s="69"/>
      <c r="C51" s="90"/>
      <c r="D51" s="69"/>
      <c r="E51" s="69"/>
      <c r="F51" s="69"/>
      <c r="G51" s="69"/>
      <c r="H51" s="70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</row>
    <row r="52" ht="15.75" customHeight="1" spans="1:25">
      <c r="A52" s="88"/>
      <c r="B52" s="69"/>
      <c r="C52" s="90"/>
      <c r="D52" s="69"/>
      <c r="E52" s="69"/>
      <c r="F52" s="69"/>
      <c r="G52" s="69"/>
      <c r="H52" s="70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</row>
    <row r="53" ht="15.75" customHeight="1" spans="1:25">
      <c r="A53" s="88"/>
      <c r="B53" s="69"/>
      <c r="C53" s="90"/>
      <c r="D53" s="69"/>
      <c r="E53" s="69"/>
      <c r="F53" s="69"/>
      <c r="G53" s="69"/>
      <c r="H53" s="70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</row>
    <row r="54" ht="15.75" customHeight="1" spans="1:25">
      <c r="A54" s="88"/>
      <c r="B54" s="69"/>
      <c r="C54" s="90"/>
      <c r="D54" s="69"/>
      <c r="E54" s="69"/>
      <c r="F54" s="69"/>
      <c r="G54" s="69"/>
      <c r="H54" s="70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</row>
    <row r="55" ht="15.75" customHeight="1" spans="1:25">
      <c r="A55" s="88"/>
      <c r="B55" s="69"/>
      <c r="C55" s="90"/>
      <c r="D55" s="69"/>
      <c r="E55" s="69"/>
      <c r="F55" s="69"/>
      <c r="G55" s="69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</row>
    <row r="56" ht="15.75" customHeight="1" spans="1:25">
      <c r="A56" s="88"/>
      <c r="B56" s="69"/>
      <c r="C56" s="90"/>
      <c r="D56" s="69"/>
      <c r="E56" s="69"/>
      <c r="F56" s="69"/>
      <c r="G56" s="69"/>
      <c r="H56" s="70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</row>
    <row r="57" ht="15.75" customHeight="1" spans="1:25">
      <c r="A57" s="88"/>
      <c r="B57" s="69"/>
      <c r="C57" s="90"/>
      <c r="D57" s="69"/>
      <c r="E57" s="69"/>
      <c r="F57" s="69"/>
      <c r="G57" s="69"/>
      <c r="H57" s="70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ht="15.75" customHeight="1" spans="1:25">
      <c r="A58" s="88"/>
      <c r="B58" s="69"/>
      <c r="C58" s="90"/>
      <c r="D58" s="69"/>
      <c r="E58" s="69"/>
      <c r="F58" s="69"/>
      <c r="G58" s="69"/>
      <c r="H58" s="70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</row>
    <row r="59" ht="15.75" customHeight="1" spans="1:25">
      <c r="A59" s="88"/>
      <c r="B59" s="69"/>
      <c r="C59" s="90"/>
      <c r="D59" s="69"/>
      <c r="E59" s="69"/>
      <c r="F59" s="69"/>
      <c r="G59" s="69"/>
      <c r="H59" s="70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</row>
    <row r="60" ht="15.75" customHeight="1" spans="1:25">
      <c r="A60" s="88"/>
      <c r="B60" s="69"/>
      <c r="C60" s="90"/>
      <c r="D60" s="69"/>
      <c r="E60" s="69"/>
      <c r="F60" s="69"/>
      <c r="G60" s="69"/>
      <c r="H60" s="70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</row>
    <row r="61" ht="15.75" customHeight="1" spans="1:25">
      <c r="A61" s="88"/>
      <c r="B61" s="69"/>
      <c r="C61" s="90"/>
      <c r="D61" s="69"/>
      <c r="E61" s="69"/>
      <c r="F61" s="69"/>
      <c r="G61" s="69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</row>
    <row r="62" ht="15.75" customHeight="1" spans="1:25">
      <c r="A62" s="88"/>
      <c r="B62" s="69"/>
      <c r="C62" s="90"/>
      <c r="D62" s="69"/>
      <c r="E62" s="69"/>
      <c r="F62" s="69"/>
      <c r="G62" s="69"/>
      <c r="H62" s="70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</row>
    <row r="63" ht="15.75" customHeight="1" spans="1:25">
      <c r="A63" s="88"/>
      <c r="B63" s="69"/>
      <c r="C63" s="90"/>
      <c r="D63" s="69"/>
      <c r="E63" s="69"/>
      <c r="F63" s="69"/>
      <c r="G63" s="69"/>
      <c r="H63" s="70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</row>
    <row r="64" ht="15.75" customHeight="1" spans="1:25">
      <c r="A64" s="88"/>
      <c r="B64" s="69"/>
      <c r="C64" s="90"/>
      <c r="D64" s="69"/>
      <c r="E64" s="69"/>
      <c r="F64" s="69"/>
      <c r="G64" s="69"/>
      <c r="H64" s="70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</row>
    <row r="65" ht="15.75" customHeight="1" spans="1:25">
      <c r="A65" s="88"/>
      <c r="B65" s="69"/>
      <c r="C65" s="90"/>
      <c r="D65" s="69"/>
      <c r="E65" s="69"/>
      <c r="F65" s="69"/>
      <c r="G65" s="69"/>
      <c r="H65" s="70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</row>
    <row r="66" ht="15.75" customHeight="1" spans="1:25">
      <c r="A66" s="88"/>
      <c r="B66" s="69"/>
      <c r="C66" s="90"/>
      <c r="D66" s="69"/>
      <c r="E66" s="69"/>
      <c r="F66" s="69"/>
      <c r="G66" s="69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</row>
    <row r="67" ht="15.75" customHeight="1" spans="1:25">
      <c r="A67" s="88"/>
      <c r="B67" s="69"/>
      <c r="C67" s="90"/>
      <c r="D67" s="69"/>
      <c r="E67" s="69"/>
      <c r="F67" s="69"/>
      <c r="G67" s="69"/>
      <c r="H67" s="70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</row>
    <row r="68" ht="15.75" customHeight="1" spans="1:25">
      <c r="A68" s="88"/>
      <c r="B68" s="69"/>
      <c r="C68" s="90"/>
      <c r="D68" s="69"/>
      <c r="E68" s="69"/>
      <c r="F68" s="69"/>
      <c r="G68" s="69"/>
      <c r="H68" s="70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</row>
    <row r="69" ht="15.75" customHeight="1" spans="1:25">
      <c r="A69" s="88"/>
      <c r="B69" s="69"/>
      <c r="C69" s="90"/>
      <c r="D69" s="69"/>
      <c r="E69" s="69"/>
      <c r="F69" s="69"/>
      <c r="G69" s="69"/>
      <c r="H69" s="70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</row>
    <row r="70" ht="15.75" customHeight="1" spans="1:25">
      <c r="A70" s="88"/>
      <c r="B70" s="69"/>
      <c r="C70" s="90"/>
      <c r="D70" s="69"/>
      <c r="E70" s="69"/>
      <c r="F70" s="69"/>
      <c r="G70" s="69"/>
      <c r="H70" s="70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</row>
    <row r="71" ht="15.75" customHeight="1" spans="1:25">
      <c r="A71" s="88"/>
      <c r="B71" s="69"/>
      <c r="C71" s="90"/>
      <c r="D71" s="69"/>
      <c r="E71" s="69"/>
      <c r="F71" s="69"/>
      <c r="G71" s="69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</row>
    <row r="72" ht="15.75" customHeight="1" spans="1:25">
      <c r="A72" s="88"/>
      <c r="B72" s="69"/>
      <c r="C72" s="90"/>
      <c r="D72" s="69"/>
      <c r="E72" s="69"/>
      <c r="F72" s="69"/>
      <c r="G72" s="69"/>
      <c r="H72" s="70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</row>
    <row r="73" ht="15.75" customHeight="1" spans="1:25">
      <c r="A73" s="88"/>
      <c r="B73" s="69"/>
      <c r="C73" s="90"/>
      <c r="D73" s="69"/>
      <c r="E73" s="69"/>
      <c r="F73" s="69"/>
      <c r="G73" s="69"/>
      <c r="H73" s="70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</row>
    <row r="74" ht="15.75" customHeight="1" spans="1:25">
      <c r="A74" s="88"/>
      <c r="B74" s="69"/>
      <c r="C74" s="90"/>
      <c r="D74" s="69"/>
      <c r="E74" s="69"/>
      <c r="F74" s="69"/>
      <c r="G74" s="69"/>
      <c r="H74" s="70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</row>
    <row r="75" ht="15.75" customHeight="1" spans="1:25">
      <c r="A75" s="88"/>
      <c r="B75" s="69"/>
      <c r="C75" s="90"/>
      <c r="D75" s="69"/>
      <c r="E75" s="69"/>
      <c r="F75" s="69"/>
      <c r="G75" s="69"/>
      <c r="H75" s="70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</row>
    <row r="76" ht="15.75" customHeight="1" spans="1:25">
      <c r="A76" s="88"/>
      <c r="B76" s="69"/>
      <c r="C76" s="90"/>
      <c r="D76" s="69"/>
      <c r="E76" s="69"/>
      <c r="F76" s="69"/>
      <c r="G76" s="69"/>
      <c r="H76" s="70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</row>
    <row r="77" ht="15.75" customHeight="1" spans="1:25">
      <c r="A77" s="88"/>
      <c r="B77" s="69"/>
      <c r="C77" s="90"/>
      <c r="D77" s="69"/>
      <c r="E77" s="69"/>
      <c r="F77" s="69"/>
      <c r="G77" s="69"/>
      <c r="H77" s="70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</row>
    <row r="78" ht="15.75" customHeight="1" spans="1:25">
      <c r="A78" s="88"/>
      <c r="B78" s="69"/>
      <c r="C78" s="90"/>
      <c r="D78" s="69"/>
      <c r="E78" s="69"/>
      <c r="F78" s="69"/>
      <c r="G78" s="69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ht="15.75" customHeight="1" spans="1:25">
      <c r="A79" s="88"/>
      <c r="B79" s="69"/>
      <c r="C79" s="90"/>
      <c r="D79" s="69"/>
      <c r="E79" s="69"/>
      <c r="F79" s="69"/>
      <c r="G79" s="69"/>
      <c r="H79" s="70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</row>
    <row r="80" ht="15.75" customHeight="1" spans="1:25">
      <c r="A80" s="88"/>
      <c r="B80" s="69"/>
      <c r="C80" s="90"/>
      <c r="D80" s="69"/>
      <c r="E80" s="69"/>
      <c r="F80" s="69"/>
      <c r="G80" s="69"/>
      <c r="H80" s="70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ht="15.75" customHeight="1" spans="1:25">
      <c r="A81" s="88"/>
      <c r="B81" s="69"/>
      <c r="C81" s="90"/>
      <c r="D81" s="69"/>
      <c r="E81" s="69"/>
      <c r="F81" s="69"/>
      <c r="G81" s="69"/>
      <c r="H81" s="70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</row>
    <row r="82" ht="15.75" customHeight="1" spans="1:25">
      <c r="A82" s="88"/>
      <c r="B82" s="69"/>
      <c r="C82" s="90"/>
      <c r="D82" s="69"/>
      <c r="E82" s="69"/>
      <c r="F82" s="69"/>
      <c r="G82" s="69"/>
      <c r="H82" s="70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</row>
    <row r="83" ht="15.75" customHeight="1" spans="1:25">
      <c r="A83" s="88"/>
      <c r="B83" s="69"/>
      <c r="C83" s="90"/>
      <c r="D83" s="69"/>
      <c r="E83" s="69"/>
      <c r="F83" s="69"/>
      <c r="G83" s="69"/>
      <c r="H83" s="70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</row>
    <row r="84" ht="15.75" customHeight="1" spans="1:25">
      <c r="A84" s="88"/>
      <c r="B84" s="69"/>
      <c r="C84" s="90"/>
      <c r="D84" s="69"/>
      <c r="E84" s="69"/>
      <c r="F84" s="69"/>
      <c r="G84" s="69"/>
      <c r="H84" s="70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</row>
    <row r="85" ht="15.75" customHeight="1" spans="1:25">
      <c r="A85" s="88"/>
      <c r="B85" s="69"/>
      <c r="C85" s="90"/>
      <c r="D85" s="69"/>
      <c r="E85" s="69"/>
      <c r="F85" s="69"/>
      <c r="G85" s="69"/>
      <c r="H85" s="70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</row>
    <row r="86" ht="15.75" customHeight="1" spans="1:25">
      <c r="A86" s="88"/>
      <c r="B86" s="69"/>
      <c r="C86" s="90"/>
      <c r="D86" s="69"/>
      <c r="E86" s="69"/>
      <c r="F86" s="69"/>
      <c r="G86" s="69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</row>
    <row r="87" ht="15.75" customHeight="1" spans="1:25">
      <c r="A87" s="88"/>
      <c r="B87" s="69"/>
      <c r="C87" s="90"/>
      <c r="D87" s="69"/>
      <c r="E87" s="69"/>
      <c r="F87" s="69"/>
      <c r="G87" s="69"/>
      <c r="H87" s="70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</row>
    <row r="88" ht="15.75" customHeight="1" spans="1:25">
      <c r="A88" s="88"/>
      <c r="B88" s="69"/>
      <c r="C88" s="90"/>
      <c r="D88" s="69"/>
      <c r="E88" s="69"/>
      <c r="F88" s="69"/>
      <c r="G88" s="69"/>
      <c r="H88" s="70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</row>
    <row r="89" ht="15.75" customHeight="1" spans="1:25">
      <c r="A89" s="88"/>
      <c r="B89" s="69"/>
      <c r="C89" s="90"/>
      <c r="D89" s="69"/>
      <c r="E89" s="69"/>
      <c r="F89" s="69"/>
      <c r="G89" s="69"/>
      <c r="H89" s="70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</row>
    <row r="90" ht="15.75" customHeight="1" spans="1:25">
      <c r="A90" s="88"/>
      <c r="B90" s="69"/>
      <c r="C90" s="90"/>
      <c r="D90" s="69"/>
      <c r="E90" s="69"/>
      <c r="F90" s="69"/>
      <c r="G90" s="69"/>
      <c r="H90" s="70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</row>
    <row r="91" ht="15.75" customHeight="1" spans="1:25">
      <c r="A91" s="88"/>
      <c r="B91" s="69"/>
      <c r="C91" s="90"/>
      <c r="D91" s="69"/>
      <c r="E91" s="69"/>
      <c r="F91" s="69"/>
      <c r="G91" s="69"/>
      <c r="H91" s="70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</row>
    <row r="92" ht="15.75" customHeight="1" spans="1:25">
      <c r="A92" s="88"/>
      <c r="B92" s="69"/>
      <c r="C92" s="90"/>
      <c r="D92" s="69"/>
      <c r="E92" s="69"/>
      <c r="F92" s="69"/>
      <c r="G92" s="69"/>
      <c r="H92" s="70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</row>
    <row r="93" ht="15.75" customHeight="1" spans="1:25">
      <c r="A93" s="88"/>
      <c r="B93" s="69"/>
      <c r="C93" s="90"/>
      <c r="D93" s="69"/>
      <c r="E93" s="69"/>
      <c r="F93" s="69"/>
      <c r="G93" s="69"/>
      <c r="H93" s="70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</row>
    <row r="94" ht="15.75" customHeight="1" spans="1:25">
      <c r="A94" s="88"/>
      <c r="B94" s="69"/>
      <c r="C94" s="90"/>
      <c r="D94" s="69"/>
      <c r="E94" s="69"/>
      <c r="F94" s="69"/>
      <c r="G94" s="69"/>
      <c r="H94" s="70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</row>
    <row r="95" ht="15.75" customHeight="1" spans="1:25">
      <c r="A95" s="88"/>
      <c r="B95" s="69"/>
      <c r="C95" s="90"/>
      <c r="D95" s="69"/>
      <c r="E95" s="69"/>
      <c r="F95" s="69"/>
      <c r="G95" s="69"/>
      <c r="H95" s="70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</row>
    <row r="96" ht="15.75" customHeight="1" spans="1:25">
      <c r="A96" s="88"/>
      <c r="B96" s="69"/>
      <c r="C96" s="90"/>
      <c r="D96" s="69"/>
      <c r="E96" s="69"/>
      <c r="F96" s="69"/>
      <c r="G96" s="69"/>
      <c r="H96" s="70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</row>
    <row r="97" ht="15.75" customHeight="1" spans="1:25">
      <c r="A97" s="88"/>
      <c r="B97" s="69"/>
      <c r="C97" s="90"/>
      <c r="D97" s="69"/>
      <c r="E97" s="69"/>
      <c r="F97" s="69"/>
      <c r="G97" s="69"/>
      <c r="H97" s="70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</row>
    <row r="98" ht="15.75" customHeight="1" spans="1:25">
      <c r="A98" s="88"/>
      <c r="B98" s="69"/>
      <c r="C98" s="90"/>
      <c r="D98" s="69"/>
      <c r="E98" s="69"/>
      <c r="F98" s="69"/>
      <c r="G98" s="69"/>
      <c r="H98" s="70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</row>
    <row r="99" ht="15.75" customHeight="1" spans="1:25">
      <c r="A99" s="88"/>
      <c r="B99" s="69"/>
      <c r="C99" s="90"/>
      <c r="D99" s="69"/>
      <c r="E99" s="69"/>
      <c r="F99" s="69"/>
      <c r="G99" s="69"/>
      <c r="H99" s="70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</row>
    <row r="100" ht="15.75" customHeight="1" spans="1:25">
      <c r="A100" s="88"/>
      <c r="B100" s="69"/>
      <c r="C100" s="90"/>
      <c r="D100" s="69"/>
      <c r="E100" s="69"/>
      <c r="F100" s="69"/>
      <c r="G100" s="69"/>
      <c r="H100" s="70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</row>
    <row r="101" ht="15.75" customHeight="1" spans="1:25">
      <c r="A101" s="88"/>
      <c r="B101" s="69"/>
      <c r="C101" s="90"/>
      <c r="D101" s="69"/>
      <c r="E101" s="69"/>
      <c r="F101" s="69"/>
      <c r="G101" s="69"/>
      <c r="H101" s="70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</row>
    <row r="102" ht="15.75" customHeight="1" spans="1:25">
      <c r="A102" s="88"/>
      <c r="B102" s="69"/>
      <c r="C102" s="90"/>
      <c r="D102" s="69"/>
      <c r="E102" s="69"/>
      <c r="F102" s="69"/>
      <c r="G102" s="69"/>
      <c r="H102" s="70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</row>
    <row r="103" ht="15.75" customHeight="1" spans="1:25">
      <c r="A103" s="88"/>
      <c r="B103" s="69"/>
      <c r="C103" s="90"/>
      <c r="D103" s="69"/>
      <c r="E103" s="69"/>
      <c r="F103" s="69"/>
      <c r="G103" s="69"/>
      <c r="H103" s="70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</row>
    <row r="104" ht="15.75" customHeight="1" spans="1:25">
      <c r="A104" s="88"/>
      <c r="B104" s="69"/>
      <c r="C104" s="90"/>
      <c r="D104" s="69"/>
      <c r="E104" s="69"/>
      <c r="F104" s="69"/>
      <c r="G104" s="69"/>
      <c r="H104" s="70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</row>
    <row r="105" ht="15.75" customHeight="1" spans="1:25">
      <c r="A105" s="88"/>
      <c r="B105" s="69"/>
      <c r="C105" s="90"/>
      <c r="D105" s="69"/>
      <c r="E105" s="69"/>
      <c r="F105" s="69"/>
      <c r="G105" s="69"/>
      <c r="H105" s="70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</row>
    <row r="106" ht="15.75" customHeight="1" spans="1:25">
      <c r="A106" s="88"/>
      <c r="B106" s="69"/>
      <c r="C106" s="90"/>
      <c r="D106" s="69"/>
      <c r="E106" s="69"/>
      <c r="F106" s="69"/>
      <c r="G106" s="69"/>
      <c r="H106" s="70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</row>
    <row r="107" ht="15.75" customHeight="1" spans="1:25">
      <c r="A107" s="88"/>
      <c r="B107" s="69"/>
      <c r="C107" s="90"/>
      <c r="D107" s="69"/>
      <c r="E107" s="69"/>
      <c r="F107" s="69"/>
      <c r="G107" s="69"/>
      <c r="H107" s="70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</row>
    <row r="108" ht="15.75" customHeight="1" spans="1:25">
      <c r="A108" s="88"/>
      <c r="B108" s="69"/>
      <c r="C108" s="90"/>
      <c r="D108" s="69"/>
      <c r="E108" s="69"/>
      <c r="F108" s="69"/>
      <c r="G108" s="69"/>
      <c r="H108" s="70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</row>
    <row r="109" ht="15.75" customHeight="1" spans="1:25">
      <c r="A109" s="88"/>
      <c r="B109" s="69"/>
      <c r="C109" s="90"/>
      <c r="D109" s="69"/>
      <c r="E109" s="69"/>
      <c r="F109" s="69"/>
      <c r="G109" s="69"/>
      <c r="H109" s="70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</row>
    <row r="110" ht="15.75" customHeight="1" spans="1:25">
      <c r="A110" s="88"/>
      <c r="B110" s="69"/>
      <c r="C110" s="90"/>
      <c r="D110" s="69"/>
      <c r="E110" s="69"/>
      <c r="F110" s="69"/>
      <c r="G110" s="69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</row>
    <row r="111" ht="15.75" customHeight="1" spans="1:25">
      <c r="A111" s="88"/>
      <c r="B111" s="69"/>
      <c r="C111" s="90"/>
      <c r="D111" s="69"/>
      <c r="E111" s="69"/>
      <c r="F111" s="69"/>
      <c r="G111" s="69"/>
      <c r="H111" s="70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</row>
    <row r="112" ht="15.75" customHeight="1" spans="1:25">
      <c r="A112" s="88"/>
      <c r="B112" s="69"/>
      <c r="C112" s="90"/>
      <c r="D112" s="69"/>
      <c r="E112" s="69"/>
      <c r="F112" s="69"/>
      <c r="G112" s="69"/>
      <c r="H112" s="70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</row>
    <row r="113" ht="15.75" customHeight="1" spans="1:25">
      <c r="A113" s="88"/>
      <c r="B113" s="69"/>
      <c r="C113" s="90"/>
      <c r="D113" s="69"/>
      <c r="E113" s="69"/>
      <c r="F113" s="69"/>
      <c r="G113" s="69"/>
      <c r="H113" s="70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</row>
    <row r="114" ht="15.75" customHeight="1" spans="1:25">
      <c r="A114" s="88"/>
      <c r="B114" s="69"/>
      <c r="C114" s="90"/>
      <c r="D114" s="69"/>
      <c r="E114" s="69"/>
      <c r="F114" s="69"/>
      <c r="G114" s="69"/>
      <c r="H114" s="70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</row>
    <row r="115" ht="15.75" customHeight="1" spans="1:25">
      <c r="A115" s="88"/>
      <c r="B115" s="69"/>
      <c r="C115" s="90"/>
      <c r="D115" s="69"/>
      <c r="E115" s="69"/>
      <c r="F115" s="69"/>
      <c r="G115" s="69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</row>
    <row r="116" ht="15.75" customHeight="1" spans="1:25">
      <c r="A116" s="88"/>
      <c r="B116" s="69"/>
      <c r="C116" s="90"/>
      <c r="D116" s="69"/>
      <c r="E116" s="69"/>
      <c r="F116" s="69"/>
      <c r="G116" s="69"/>
      <c r="H116" s="70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</row>
    <row r="117" ht="15.75" customHeight="1" spans="1:25">
      <c r="A117" s="88"/>
      <c r="B117" s="69"/>
      <c r="C117" s="90"/>
      <c r="D117" s="69"/>
      <c r="E117" s="69"/>
      <c r="F117" s="69"/>
      <c r="G117" s="69"/>
      <c r="H117" s="70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</row>
    <row r="118" ht="15.75" customHeight="1" spans="1:25">
      <c r="A118" s="88"/>
      <c r="B118" s="69"/>
      <c r="C118" s="90"/>
      <c r="D118" s="69"/>
      <c r="E118" s="69"/>
      <c r="F118" s="69"/>
      <c r="G118" s="69"/>
      <c r="H118" s="70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</row>
    <row r="119" ht="15.75" customHeight="1" spans="1:25">
      <c r="A119" s="88"/>
      <c r="B119" s="69"/>
      <c r="C119" s="90"/>
      <c r="D119" s="69"/>
      <c r="E119" s="69"/>
      <c r="F119" s="69"/>
      <c r="G119" s="69"/>
      <c r="H119" s="70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</row>
    <row r="120" ht="15.75" customHeight="1" spans="1:25">
      <c r="A120" s="88"/>
      <c r="B120" s="69"/>
      <c r="C120" s="90"/>
      <c r="D120" s="69"/>
      <c r="E120" s="69"/>
      <c r="F120" s="69"/>
      <c r="G120" s="69"/>
      <c r="H120" s="70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</row>
    <row r="121" ht="15.75" customHeight="1" spans="1:25">
      <c r="A121" s="88"/>
      <c r="B121" s="69"/>
      <c r="C121" s="90"/>
      <c r="D121" s="69"/>
      <c r="E121" s="69"/>
      <c r="F121" s="69"/>
      <c r="G121" s="69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</row>
    <row r="122" ht="15.75" customHeight="1" spans="1:25">
      <c r="A122" s="88"/>
      <c r="B122" s="69"/>
      <c r="C122" s="90"/>
      <c r="D122" s="69"/>
      <c r="E122" s="69"/>
      <c r="F122" s="69"/>
      <c r="G122" s="69"/>
      <c r="H122" s="70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</row>
    <row r="123" ht="15.75" customHeight="1" spans="1:25">
      <c r="A123" s="88"/>
      <c r="B123" s="69"/>
      <c r="C123" s="90"/>
      <c r="D123" s="69"/>
      <c r="E123" s="69"/>
      <c r="F123" s="69"/>
      <c r="G123" s="69"/>
      <c r="H123" s="70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</row>
    <row r="124" ht="15.75" customHeight="1" spans="1:25">
      <c r="A124" s="88"/>
      <c r="B124" s="69"/>
      <c r="C124" s="90"/>
      <c r="D124" s="69"/>
      <c r="E124" s="69"/>
      <c r="F124" s="69"/>
      <c r="G124" s="69"/>
      <c r="H124" s="70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</row>
    <row r="125" ht="15.75" customHeight="1" spans="1:25">
      <c r="A125" s="88"/>
      <c r="B125" s="69"/>
      <c r="C125" s="90"/>
      <c r="D125" s="69"/>
      <c r="E125" s="69"/>
      <c r="F125" s="69"/>
      <c r="G125" s="69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</row>
    <row r="126" ht="15.75" customHeight="1" spans="1:25">
      <c r="A126" s="88"/>
      <c r="B126" s="69"/>
      <c r="C126" s="90"/>
      <c r="D126" s="69"/>
      <c r="E126" s="69"/>
      <c r="F126" s="69"/>
      <c r="G126" s="69"/>
      <c r="H126" s="70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</row>
    <row r="127" ht="15.75" customHeight="1" spans="1:25">
      <c r="A127" s="88"/>
      <c r="B127" s="69"/>
      <c r="C127" s="90"/>
      <c r="D127" s="69"/>
      <c r="E127" s="69"/>
      <c r="F127" s="69"/>
      <c r="G127" s="69"/>
      <c r="H127" s="70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</row>
    <row r="128" ht="15.75" customHeight="1" spans="1:25">
      <c r="A128" s="88"/>
      <c r="B128" s="69"/>
      <c r="C128" s="90"/>
      <c r="D128" s="69"/>
      <c r="E128" s="69"/>
      <c r="F128" s="69"/>
      <c r="G128" s="69"/>
      <c r="H128" s="70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</row>
    <row r="129" ht="15.75" customHeight="1" spans="1:25">
      <c r="A129" s="88"/>
      <c r="B129" s="69"/>
      <c r="C129" s="90"/>
      <c r="D129" s="69"/>
      <c r="E129" s="69"/>
      <c r="F129" s="69"/>
      <c r="G129" s="69"/>
      <c r="H129" s="70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</row>
    <row r="130" ht="15.75" customHeight="1" spans="1:25">
      <c r="A130" s="88"/>
      <c r="B130" s="69"/>
      <c r="C130" s="90"/>
      <c r="D130" s="69"/>
      <c r="E130" s="69"/>
      <c r="F130" s="69"/>
      <c r="G130" s="69"/>
      <c r="H130" s="70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</row>
    <row r="131" ht="15.75" customHeight="1" spans="1:25">
      <c r="A131" s="88"/>
      <c r="B131" s="69"/>
      <c r="C131" s="90"/>
      <c r="D131" s="69"/>
      <c r="E131" s="69"/>
      <c r="F131" s="69"/>
      <c r="G131" s="69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</row>
    <row r="132" ht="15.75" customHeight="1" spans="1:25">
      <c r="A132" s="88"/>
      <c r="B132" s="69"/>
      <c r="C132" s="90"/>
      <c r="D132" s="69"/>
      <c r="E132" s="69"/>
      <c r="F132" s="69"/>
      <c r="G132" s="69"/>
      <c r="H132" s="70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</row>
    <row r="133" ht="15.75" customHeight="1" spans="1:25">
      <c r="A133" s="88"/>
      <c r="B133" s="69"/>
      <c r="C133" s="90"/>
      <c r="D133" s="69"/>
      <c r="E133" s="69"/>
      <c r="F133" s="69"/>
      <c r="G133" s="69"/>
      <c r="H133" s="70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</row>
    <row r="134" ht="15.75" customHeight="1" spans="1:25">
      <c r="A134" s="88"/>
      <c r="B134" s="69"/>
      <c r="C134" s="90"/>
      <c r="D134" s="69"/>
      <c r="E134" s="69"/>
      <c r="F134" s="69"/>
      <c r="G134" s="69"/>
      <c r="H134" s="70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</row>
    <row r="135" ht="15.75" customHeight="1" spans="1:25">
      <c r="A135" s="88"/>
      <c r="B135" s="69"/>
      <c r="C135" s="90"/>
      <c r="D135" s="69"/>
      <c r="E135" s="69"/>
      <c r="F135" s="69"/>
      <c r="G135" s="69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</row>
    <row r="136" ht="15.75" customHeight="1" spans="1:25">
      <c r="A136" s="88"/>
      <c r="B136" s="69"/>
      <c r="C136" s="90"/>
      <c r="D136" s="69"/>
      <c r="E136" s="69"/>
      <c r="F136" s="69"/>
      <c r="G136" s="69"/>
      <c r="H136" s="70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</row>
    <row r="137" ht="15.75" customHeight="1" spans="1:25">
      <c r="A137" s="88"/>
      <c r="B137" s="69"/>
      <c r="C137" s="90"/>
      <c r="D137" s="69"/>
      <c r="E137" s="69"/>
      <c r="F137" s="69"/>
      <c r="G137" s="69"/>
      <c r="H137" s="70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</row>
    <row r="138" ht="15.75" customHeight="1" spans="1:25">
      <c r="A138" s="88"/>
      <c r="B138" s="69"/>
      <c r="C138" s="90"/>
      <c r="D138" s="69"/>
      <c r="E138" s="69"/>
      <c r="F138" s="69"/>
      <c r="G138" s="69"/>
      <c r="H138" s="70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</row>
    <row r="139" ht="15.75" customHeight="1" spans="1:25">
      <c r="A139" s="88"/>
      <c r="B139" s="69"/>
      <c r="C139" s="90"/>
      <c r="D139" s="69"/>
      <c r="E139" s="69"/>
      <c r="F139" s="69"/>
      <c r="G139" s="69"/>
      <c r="H139" s="70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</row>
    <row r="140" ht="15.75" customHeight="1" spans="1:25">
      <c r="A140" s="88"/>
      <c r="B140" s="69"/>
      <c r="C140" s="90"/>
      <c r="D140" s="69"/>
      <c r="E140" s="69"/>
      <c r="F140" s="69"/>
      <c r="G140" s="69"/>
      <c r="H140" s="70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</row>
    <row r="141" ht="15.75" customHeight="1" spans="1:25">
      <c r="A141" s="88"/>
      <c r="B141" s="69"/>
      <c r="C141" s="90"/>
      <c r="D141" s="69"/>
      <c r="E141" s="69"/>
      <c r="F141" s="69"/>
      <c r="G141" s="69"/>
      <c r="H141" s="70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</row>
    <row r="142" ht="15.75" customHeight="1" spans="1:25">
      <c r="A142" s="88"/>
      <c r="B142" s="69"/>
      <c r="C142" s="90"/>
      <c r="D142" s="69"/>
      <c r="E142" s="69"/>
      <c r="F142" s="69"/>
      <c r="G142" s="69"/>
      <c r="H142" s="70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</row>
    <row r="143" ht="15.75" customHeight="1" spans="1:25">
      <c r="A143" s="88"/>
      <c r="B143" s="69"/>
      <c r="C143" s="90"/>
      <c r="D143" s="69"/>
      <c r="E143" s="69"/>
      <c r="F143" s="69"/>
      <c r="G143" s="69"/>
      <c r="H143" s="70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</row>
    <row r="144" ht="15.75" customHeight="1" spans="1:25">
      <c r="A144" s="88"/>
      <c r="B144" s="69"/>
      <c r="C144" s="90"/>
      <c r="D144" s="69"/>
      <c r="E144" s="69"/>
      <c r="F144" s="69"/>
      <c r="G144" s="69"/>
      <c r="H144" s="70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</row>
    <row r="145" ht="15.75" customHeight="1" spans="1:25">
      <c r="A145" s="88"/>
      <c r="B145" s="69"/>
      <c r="C145" s="90"/>
      <c r="D145" s="69"/>
      <c r="E145" s="69"/>
      <c r="F145" s="69"/>
      <c r="G145" s="69"/>
      <c r="H145" s="70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</row>
    <row r="146" ht="15.75" customHeight="1" spans="1:25">
      <c r="A146" s="88"/>
      <c r="B146" s="69"/>
      <c r="C146" s="90"/>
      <c r="D146" s="69"/>
      <c r="E146" s="69"/>
      <c r="F146" s="69"/>
      <c r="G146" s="69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</row>
    <row r="147" ht="15.75" customHeight="1" spans="1:25">
      <c r="A147" s="88"/>
      <c r="B147" s="69"/>
      <c r="C147" s="90"/>
      <c r="D147" s="69"/>
      <c r="E147" s="69"/>
      <c r="F147" s="69"/>
      <c r="G147" s="69"/>
      <c r="H147" s="70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</row>
    <row r="148" ht="15.75" customHeight="1" spans="1:25">
      <c r="A148" s="88"/>
      <c r="B148" s="69"/>
      <c r="C148" s="90"/>
      <c r="D148" s="69"/>
      <c r="E148" s="69"/>
      <c r="F148" s="69"/>
      <c r="G148" s="69"/>
      <c r="H148" s="70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</row>
    <row r="149" ht="15.75" customHeight="1" spans="1:25">
      <c r="A149" s="88"/>
      <c r="B149" s="69"/>
      <c r="C149" s="90"/>
      <c r="D149" s="69"/>
      <c r="E149" s="69"/>
      <c r="F149" s="69"/>
      <c r="G149" s="69"/>
      <c r="H149" s="70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</row>
    <row r="150" ht="15.75" customHeight="1" spans="1:25">
      <c r="A150" s="88"/>
      <c r="B150" s="69"/>
      <c r="C150" s="90"/>
      <c r="D150" s="69"/>
      <c r="E150" s="69"/>
      <c r="F150" s="69"/>
      <c r="G150" s="69"/>
      <c r="H150" s="70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</row>
    <row r="151" ht="15.75" customHeight="1" spans="1:25">
      <c r="A151" s="88"/>
      <c r="B151" s="69"/>
      <c r="C151" s="90"/>
      <c r="D151" s="69"/>
      <c r="E151" s="69"/>
      <c r="F151" s="69"/>
      <c r="G151" s="69"/>
      <c r="H151" s="70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</row>
    <row r="152" ht="15.75" customHeight="1" spans="1:25">
      <c r="A152" s="88"/>
      <c r="B152" s="69"/>
      <c r="C152" s="90"/>
      <c r="D152" s="69"/>
      <c r="E152" s="69"/>
      <c r="F152" s="69"/>
      <c r="G152" s="69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</row>
    <row r="153" ht="15.75" customHeight="1" spans="1:25">
      <c r="A153" s="88"/>
      <c r="B153" s="69"/>
      <c r="C153" s="90"/>
      <c r="D153" s="69"/>
      <c r="E153" s="69"/>
      <c r="F153" s="69"/>
      <c r="G153" s="69"/>
      <c r="H153" s="70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</row>
    <row r="154" ht="15.75" customHeight="1" spans="1:25">
      <c r="A154" s="88"/>
      <c r="B154" s="69"/>
      <c r="C154" s="90"/>
      <c r="D154" s="69"/>
      <c r="E154" s="69"/>
      <c r="F154" s="69"/>
      <c r="G154" s="69"/>
      <c r="H154" s="70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</row>
    <row r="155" ht="15.75" customHeight="1" spans="1:25">
      <c r="A155" s="88"/>
      <c r="B155" s="69"/>
      <c r="C155" s="90"/>
      <c r="D155" s="69"/>
      <c r="E155" s="69"/>
      <c r="F155" s="69"/>
      <c r="G155" s="69"/>
      <c r="H155" s="70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</row>
    <row r="156" ht="15.75" customHeight="1" spans="1:25">
      <c r="A156" s="88"/>
      <c r="B156" s="69"/>
      <c r="C156" s="90"/>
      <c r="D156" s="69"/>
      <c r="E156" s="69"/>
      <c r="F156" s="69"/>
      <c r="G156" s="69"/>
      <c r="H156" s="70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</row>
    <row r="157" ht="15.75" customHeight="1" spans="1:25">
      <c r="A157" s="88"/>
      <c r="B157" s="69"/>
      <c r="C157" s="90"/>
      <c r="D157" s="69"/>
      <c r="E157" s="69"/>
      <c r="F157" s="69"/>
      <c r="G157" s="69"/>
      <c r="H157" s="70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</row>
    <row r="158" ht="15.75" customHeight="1" spans="1:25">
      <c r="A158" s="88"/>
      <c r="B158" s="69"/>
      <c r="C158" s="90"/>
      <c r="D158" s="69"/>
      <c r="E158" s="69"/>
      <c r="F158" s="69"/>
      <c r="G158" s="69"/>
      <c r="H158" s="70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</row>
    <row r="159" ht="15.75" customHeight="1" spans="1:25">
      <c r="A159" s="88"/>
      <c r="B159" s="69"/>
      <c r="C159" s="90"/>
      <c r="D159" s="69"/>
      <c r="E159" s="69"/>
      <c r="F159" s="69"/>
      <c r="G159" s="69"/>
      <c r="H159" s="70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</row>
    <row r="160" ht="15.75" customHeight="1" spans="1:25">
      <c r="A160" s="88"/>
      <c r="B160" s="69"/>
      <c r="C160" s="90"/>
      <c r="D160" s="69"/>
      <c r="E160" s="69"/>
      <c r="F160" s="69"/>
      <c r="G160" s="69"/>
      <c r="H160" s="70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</row>
    <row r="161" ht="15.75" customHeight="1" spans="1:25">
      <c r="A161" s="88"/>
      <c r="B161" s="69"/>
      <c r="C161" s="90"/>
      <c r="D161" s="69"/>
      <c r="E161" s="69"/>
      <c r="F161" s="69"/>
      <c r="G161" s="69"/>
      <c r="H161" s="70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</row>
    <row r="162" ht="15.75" customHeight="1" spans="1:25">
      <c r="A162" s="88"/>
      <c r="B162" s="69"/>
      <c r="C162" s="90"/>
      <c r="D162" s="69"/>
      <c r="E162" s="69"/>
      <c r="F162" s="69"/>
      <c r="G162" s="69"/>
      <c r="H162" s="70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</row>
    <row r="163" ht="15.75" customHeight="1" spans="1:25">
      <c r="A163" s="88"/>
      <c r="B163" s="69"/>
      <c r="C163" s="90"/>
      <c r="D163" s="69"/>
      <c r="E163" s="69"/>
      <c r="F163" s="69"/>
      <c r="G163" s="69"/>
      <c r="H163" s="70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</row>
    <row r="164" ht="15.75" customHeight="1" spans="1:25">
      <c r="A164" s="88"/>
      <c r="B164" s="69"/>
      <c r="C164" s="90"/>
      <c r="D164" s="69"/>
      <c r="E164" s="69"/>
      <c r="F164" s="69"/>
      <c r="G164" s="69"/>
      <c r="H164" s="70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</row>
    <row r="165" ht="15.75" customHeight="1" spans="1:25">
      <c r="A165" s="88"/>
      <c r="B165" s="69"/>
      <c r="C165" s="90"/>
      <c r="D165" s="69"/>
      <c r="E165" s="69"/>
      <c r="F165" s="69"/>
      <c r="G165" s="69"/>
      <c r="H165" s="70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</row>
    <row r="166" ht="15.75" customHeight="1" spans="1:25">
      <c r="A166" s="88"/>
      <c r="B166" s="69"/>
      <c r="C166" s="90"/>
      <c r="D166" s="69"/>
      <c r="E166" s="69"/>
      <c r="F166" s="69"/>
      <c r="G166" s="69"/>
      <c r="H166" s="70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</row>
    <row r="167" ht="15.75" customHeight="1" spans="1:25">
      <c r="A167" s="88"/>
      <c r="B167" s="69"/>
      <c r="C167" s="90"/>
      <c r="D167" s="69"/>
      <c r="E167" s="69"/>
      <c r="F167" s="69"/>
      <c r="G167" s="69"/>
      <c r="H167" s="70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</row>
    <row r="168" ht="15.75" customHeight="1" spans="1:25">
      <c r="A168" s="88"/>
      <c r="B168" s="69"/>
      <c r="C168" s="90"/>
      <c r="D168" s="69"/>
      <c r="E168" s="69"/>
      <c r="F168" s="69"/>
      <c r="G168" s="69"/>
      <c r="H168" s="70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</row>
    <row r="169" ht="15.75" customHeight="1" spans="1:25">
      <c r="A169" s="88"/>
      <c r="B169" s="69"/>
      <c r="C169" s="90"/>
      <c r="D169" s="69"/>
      <c r="E169" s="69"/>
      <c r="F169" s="69"/>
      <c r="G169" s="69"/>
      <c r="H169" s="70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</row>
    <row r="170" ht="15.75" customHeight="1" spans="1:25">
      <c r="A170" s="88"/>
      <c r="B170" s="69"/>
      <c r="C170" s="90"/>
      <c r="D170" s="69"/>
      <c r="E170" s="69"/>
      <c r="F170" s="69"/>
      <c r="G170" s="69"/>
      <c r="H170" s="70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</row>
    <row r="171" ht="15.75" customHeight="1" spans="1:25">
      <c r="A171" s="88"/>
      <c r="B171" s="69"/>
      <c r="C171" s="90"/>
      <c r="D171" s="69"/>
      <c r="E171" s="69"/>
      <c r="F171" s="69"/>
      <c r="G171" s="69"/>
      <c r="H171" s="70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</row>
    <row r="172" ht="15.75" customHeight="1" spans="1:25">
      <c r="A172" s="88"/>
      <c r="B172" s="69"/>
      <c r="C172" s="90"/>
      <c r="D172" s="69"/>
      <c r="E172" s="69"/>
      <c r="F172" s="69"/>
      <c r="G172" s="69"/>
      <c r="H172" s="70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</row>
    <row r="173" ht="15.75" customHeight="1" spans="1:25">
      <c r="A173" s="88"/>
      <c r="B173" s="69"/>
      <c r="C173" s="90"/>
      <c r="D173" s="69"/>
      <c r="E173" s="69"/>
      <c r="F173" s="69"/>
      <c r="G173" s="69"/>
      <c r="H173" s="70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</row>
    <row r="174" ht="15.75" customHeight="1" spans="1:25">
      <c r="A174" s="88"/>
      <c r="B174" s="69"/>
      <c r="C174" s="90"/>
      <c r="D174" s="69"/>
      <c r="E174" s="69"/>
      <c r="F174" s="69"/>
      <c r="G174" s="69"/>
      <c r="H174" s="70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</row>
    <row r="175" ht="15.75" customHeight="1" spans="1:25">
      <c r="A175" s="88"/>
      <c r="B175" s="69"/>
      <c r="C175" s="90"/>
      <c r="D175" s="69"/>
      <c r="E175" s="69"/>
      <c r="F175" s="69"/>
      <c r="G175" s="69"/>
      <c r="H175" s="70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</row>
    <row r="176" ht="15.75" customHeight="1" spans="1:25">
      <c r="A176" s="88"/>
      <c r="B176" s="69"/>
      <c r="C176" s="90"/>
      <c r="D176" s="69"/>
      <c r="E176" s="69"/>
      <c r="F176" s="69"/>
      <c r="G176" s="69"/>
      <c r="H176" s="70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</row>
    <row r="177" ht="15.75" customHeight="1" spans="1:25">
      <c r="A177" s="88"/>
      <c r="B177" s="69"/>
      <c r="C177" s="90"/>
      <c r="D177" s="69"/>
      <c r="E177" s="69"/>
      <c r="F177" s="69"/>
      <c r="G177" s="69"/>
      <c r="H177" s="70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</row>
    <row r="178" ht="15.75" customHeight="1" spans="1:25">
      <c r="A178" s="88"/>
      <c r="B178" s="69"/>
      <c r="C178" s="90"/>
      <c r="D178" s="69"/>
      <c r="E178" s="69"/>
      <c r="F178" s="69"/>
      <c r="G178" s="69"/>
      <c r="H178" s="70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</row>
    <row r="179" ht="15.75" customHeight="1" spans="1:25">
      <c r="A179" s="88"/>
      <c r="B179" s="69"/>
      <c r="C179" s="90"/>
      <c r="D179" s="69"/>
      <c r="E179" s="69"/>
      <c r="F179" s="69"/>
      <c r="G179" s="69"/>
      <c r="H179" s="70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</row>
    <row r="180" ht="15.75" customHeight="1" spans="1:25">
      <c r="A180" s="88"/>
      <c r="B180" s="69"/>
      <c r="C180" s="90"/>
      <c r="D180" s="69"/>
      <c r="E180" s="69"/>
      <c r="F180" s="69"/>
      <c r="G180" s="69"/>
      <c r="H180" s="70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</row>
    <row r="181" ht="15.75" customHeight="1" spans="1:25">
      <c r="A181" s="88"/>
      <c r="B181" s="69"/>
      <c r="C181" s="90"/>
      <c r="D181" s="69"/>
      <c r="E181" s="69"/>
      <c r="F181" s="69"/>
      <c r="G181" s="69"/>
      <c r="H181" s="70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</row>
    <row r="182" ht="15.75" customHeight="1" spans="1:25">
      <c r="A182" s="88"/>
      <c r="B182" s="69"/>
      <c r="C182" s="90"/>
      <c r="D182" s="69"/>
      <c r="E182" s="69"/>
      <c r="F182" s="69"/>
      <c r="G182" s="69"/>
      <c r="H182" s="70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</row>
    <row r="183" ht="15.75" customHeight="1" spans="1:25">
      <c r="A183" s="88"/>
      <c r="B183" s="69"/>
      <c r="C183" s="90"/>
      <c r="D183" s="69"/>
      <c r="E183" s="69"/>
      <c r="F183" s="69"/>
      <c r="G183" s="69"/>
      <c r="H183" s="70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</row>
    <row r="184" ht="15.75" customHeight="1" spans="1:25">
      <c r="A184" s="88"/>
      <c r="B184" s="69"/>
      <c r="C184" s="90"/>
      <c r="D184" s="69"/>
      <c r="E184" s="69"/>
      <c r="F184" s="69"/>
      <c r="G184" s="69"/>
      <c r="H184" s="70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</row>
    <row r="185" ht="15.75" customHeight="1" spans="1:25">
      <c r="A185" s="88"/>
      <c r="B185" s="69"/>
      <c r="C185" s="90"/>
      <c r="D185" s="69"/>
      <c r="E185" s="69"/>
      <c r="F185" s="69"/>
      <c r="G185" s="69"/>
      <c r="H185" s="70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</row>
    <row r="186" ht="15.75" customHeight="1" spans="1:25">
      <c r="A186" s="88"/>
      <c r="B186" s="69"/>
      <c r="C186" s="90"/>
      <c r="D186" s="69"/>
      <c r="E186" s="69"/>
      <c r="F186" s="69"/>
      <c r="G186" s="69"/>
      <c r="H186" s="70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</row>
    <row r="187" ht="15.75" customHeight="1" spans="1:25">
      <c r="A187" s="88"/>
      <c r="B187" s="69"/>
      <c r="C187" s="90"/>
      <c r="D187" s="69"/>
      <c r="E187" s="69"/>
      <c r="F187" s="69"/>
      <c r="G187" s="69"/>
      <c r="H187" s="70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</row>
    <row r="188" ht="15.75" customHeight="1" spans="1:25">
      <c r="A188" s="88"/>
      <c r="B188" s="69"/>
      <c r="C188" s="90"/>
      <c r="D188" s="69"/>
      <c r="E188" s="69"/>
      <c r="F188" s="69"/>
      <c r="G188" s="69"/>
      <c r="H188" s="70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</row>
    <row r="189" ht="15.75" customHeight="1" spans="1:25">
      <c r="A189" s="88"/>
      <c r="B189" s="69"/>
      <c r="C189" s="90"/>
      <c r="D189" s="69"/>
      <c r="E189" s="69"/>
      <c r="F189" s="69"/>
      <c r="G189" s="69"/>
      <c r="H189" s="70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</row>
    <row r="190" ht="15.75" customHeight="1" spans="1:25">
      <c r="A190" s="88"/>
      <c r="B190" s="69"/>
      <c r="C190" s="90"/>
      <c r="D190" s="69"/>
      <c r="E190" s="69"/>
      <c r="F190" s="69"/>
      <c r="G190" s="69"/>
      <c r="H190" s="70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</row>
    <row r="191" ht="15.75" customHeight="1" spans="1:25">
      <c r="A191" s="88"/>
      <c r="B191" s="69"/>
      <c r="C191" s="90"/>
      <c r="D191" s="69"/>
      <c r="E191" s="69"/>
      <c r="F191" s="69"/>
      <c r="G191" s="69"/>
      <c r="H191" s="70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</row>
    <row r="192" ht="15.75" customHeight="1" spans="1:25">
      <c r="A192" s="88"/>
      <c r="B192" s="69"/>
      <c r="C192" s="90"/>
      <c r="D192" s="69"/>
      <c r="E192" s="69"/>
      <c r="F192" s="69"/>
      <c r="G192" s="69"/>
      <c r="H192" s="70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</row>
    <row r="193" ht="15.75" customHeight="1" spans="1:25">
      <c r="A193" s="88"/>
      <c r="B193" s="69"/>
      <c r="C193" s="90"/>
      <c r="D193" s="69"/>
      <c r="E193" s="69"/>
      <c r="F193" s="69"/>
      <c r="G193" s="69"/>
      <c r="H193" s="70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</row>
    <row r="194" ht="15.75" customHeight="1" spans="1:25">
      <c r="A194" s="88"/>
      <c r="B194" s="69"/>
      <c r="C194" s="90"/>
      <c r="D194" s="69"/>
      <c r="E194" s="69"/>
      <c r="F194" s="69"/>
      <c r="G194" s="69"/>
      <c r="H194" s="70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</row>
    <row r="195" ht="15.75" customHeight="1" spans="1:25">
      <c r="A195" s="88"/>
      <c r="B195" s="69"/>
      <c r="C195" s="90"/>
      <c r="D195" s="69"/>
      <c r="E195" s="69"/>
      <c r="F195" s="69"/>
      <c r="G195" s="69"/>
      <c r="H195" s="70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</row>
    <row r="196" ht="15.75" customHeight="1" spans="1:25">
      <c r="A196" s="88"/>
      <c r="B196" s="69"/>
      <c r="C196" s="90"/>
      <c r="D196" s="69"/>
      <c r="E196" s="69"/>
      <c r="F196" s="69"/>
      <c r="G196" s="69"/>
      <c r="H196" s="70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</row>
    <row r="197" ht="15.75" customHeight="1" spans="1:25">
      <c r="A197" s="88"/>
      <c r="B197" s="69"/>
      <c r="C197" s="90"/>
      <c r="D197" s="69"/>
      <c r="E197" s="69"/>
      <c r="F197" s="69"/>
      <c r="G197" s="69"/>
      <c r="H197" s="70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</row>
    <row r="198" ht="15.75" customHeight="1" spans="1:25">
      <c r="A198" s="88"/>
      <c r="B198" s="69"/>
      <c r="C198" s="90"/>
      <c r="D198" s="69"/>
      <c r="E198" s="69"/>
      <c r="F198" s="69"/>
      <c r="G198" s="69"/>
      <c r="H198" s="70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</row>
    <row r="199" ht="15.75" customHeight="1" spans="1:25">
      <c r="A199" s="88"/>
      <c r="B199" s="69"/>
      <c r="C199" s="90"/>
      <c r="D199" s="69"/>
      <c r="E199" s="69"/>
      <c r="F199" s="69"/>
      <c r="G199" s="69"/>
      <c r="H199" s="70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</row>
    <row r="200" ht="15.75" customHeight="1" spans="1:25">
      <c r="A200" s="88"/>
      <c r="B200" s="69"/>
      <c r="C200" s="90"/>
      <c r="D200" s="69"/>
      <c r="E200" s="69"/>
      <c r="F200" s="69"/>
      <c r="G200" s="69"/>
      <c r="H200" s="70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</row>
    <row r="201" ht="15.75" customHeight="1" spans="1:25">
      <c r="A201" s="88"/>
      <c r="B201" s="69"/>
      <c r="C201" s="90"/>
      <c r="D201" s="69"/>
      <c r="E201" s="69"/>
      <c r="F201" s="69"/>
      <c r="G201" s="69"/>
      <c r="H201" s="70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</row>
    <row r="202" ht="15.75" customHeight="1" spans="1:25">
      <c r="A202" s="88"/>
      <c r="B202" s="69"/>
      <c r="C202" s="90"/>
      <c r="D202" s="69"/>
      <c r="E202" s="69"/>
      <c r="F202" s="69"/>
      <c r="G202" s="69"/>
      <c r="H202" s="70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</row>
    <row r="203" ht="15.75" customHeight="1" spans="1:25">
      <c r="A203" s="88"/>
      <c r="B203" s="69"/>
      <c r="C203" s="90"/>
      <c r="D203" s="69"/>
      <c r="E203" s="69"/>
      <c r="F203" s="69"/>
      <c r="G203" s="69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</row>
    <row r="204" ht="15.75" customHeight="1" spans="1:25">
      <c r="A204" s="88"/>
      <c r="B204" s="69"/>
      <c r="C204" s="90"/>
      <c r="D204" s="69"/>
      <c r="E204" s="69"/>
      <c r="F204" s="69"/>
      <c r="G204" s="69"/>
      <c r="H204" s="70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</row>
    <row r="205" ht="15.75" customHeight="1" spans="1:25">
      <c r="A205" s="88"/>
      <c r="B205" s="69"/>
      <c r="C205" s="90"/>
      <c r="D205" s="69"/>
      <c r="E205" s="69"/>
      <c r="F205" s="69"/>
      <c r="G205" s="69"/>
      <c r="H205" s="70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</row>
    <row r="206" ht="15.75" customHeight="1" spans="1:25">
      <c r="A206" s="88"/>
      <c r="B206" s="69"/>
      <c r="C206" s="90"/>
      <c r="D206" s="69"/>
      <c r="E206" s="69"/>
      <c r="F206" s="69"/>
      <c r="G206" s="69"/>
      <c r="H206" s="70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</row>
    <row r="207" ht="15.75" customHeight="1" spans="1:25">
      <c r="A207" s="88"/>
      <c r="B207" s="69"/>
      <c r="C207" s="90"/>
      <c r="D207" s="69"/>
      <c r="E207" s="69"/>
      <c r="F207" s="69"/>
      <c r="G207" s="69"/>
      <c r="H207" s="70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</row>
    <row r="208" ht="15.75" customHeight="1" spans="1:25">
      <c r="A208" s="88"/>
      <c r="B208" s="69"/>
      <c r="C208" s="90"/>
      <c r="D208" s="69"/>
      <c r="E208" s="69"/>
      <c r="F208" s="69"/>
      <c r="G208" s="69"/>
      <c r="H208" s="70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</row>
    <row r="209" ht="15.75" customHeight="1" spans="1:25">
      <c r="A209" s="88"/>
      <c r="B209" s="69"/>
      <c r="C209" s="90"/>
      <c r="D209" s="69"/>
      <c r="E209" s="69"/>
      <c r="F209" s="69"/>
      <c r="G209" s="69"/>
      <c r="H209" s="70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</row>
    <row r="210" ht="15.75" customHeight="1" spans="1:25">
      <c r="A210" s="88"/>
      <c r="B210" s="69"/>
      <c r="C210" s="90"/>
      <c r="D210" s="69"/>
      <c r="E210" s="69"/>
      <c r="F210" s="69"/>
      <c r="G210" s="69"/>
      <c r="H210" s="70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</row>
    <row r="211" ht="15.75" customHeight="1" spans="1:25">
      <c r="A211" s="88"/>
      <c r="B211" s="69"/>
      <c r="C211" s="90"/>
      <c r="D211" s="69"/>
      <c r="E211" s="69"/>
      <c r="F211" s="69"/>
      <c r="G211" s="69"/>
      <c r="H211" s="70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</row>
    <row r="212" ht="15.75" customHeight="1" spans="1:25">
      <c r="A212" s="88"/>
      <c r="B212" s="69"/>
      <c r="C212" s="90"/>
      <c r="D212" s="69"/>
      <c r="E212" s="69"/>
      <c r="F212" s="69"/>
      <c r="G212" s="69"/>
      <c r="H212" s="70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</row>
    <row r="213" ht="15.75" customHeight="1" spans="1:25">
      <c r="A213" s="88"/>
      <c r="B213" s="69"/>
      <c r="C213" s="90"/>
      <c r="D213" s="69"/>
      <c r="E213" s="69"/>
      <c r="F213" s="69"/>
      <c r="G213" s="69"/>
      <c r="H213" s="70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</row>
    <row r="214" ht="15.75" customHeight="1" spans="1:25">
      <c r="A214" s="88"/>
      <c r="B214" s="69"/>
      <c r="C214" s="90"/>
      <c r="D214" s="69"/>
      <c r="E214" s="69"/>
      <c r="F214" s="69"/>
      <c r="G214" s="69"/>
      <c r="H214" s="70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</row>
    <row r="215" ht="15.75" customHeight="1" spans="1:25">
      <c r="A215" s="88"/>
      <c r="B215" s="69"/>
      <c r="C215" s="90"/>
      <c r="D215" s="69"/>
      <c r="E215" s="69"/>
      <c r="F215" s="69"/>
      <c r="G215" s="69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</row>
    <row r="216" ht="15.75" customHeight="1" spans="1:25">
      <c r="A216" s="88"/>
      <c r="B216" s="69"/>
      <c r="C216" s="90"/>
      <c r="D216" s="69"/>
      <c r="E216" s="69"/>
      <c r="F216" s="69"/>
      <c r="G216" s="69"/>
      <c r="H216" s="70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</row>
    <row r="217" ht="15.75" customHeight="1" spans="1:25">
      <c r="A217" s="88"/>
      <c r="B217" s="69"/>
      <c r="C217" s="90"/>
      <c r="D217" s="69"/>
      <c r="E217" s="69"/>
      <c r="F217" s="69"/>
      <c r="G217" s="69"/>
      <c r="H217" s="70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</row>
    <row r="218" ht="15.75" customHeight="1" spans="1:25">
      <c r="A218" s="88"/>
      <c r="B218" s="69"/>
      <c r="C218" s="90"/>
      <c r="D218" s="69"/>
      <c r="E218" s="69"/>
      <c r="F218" s="69"/>
      <c r="G218" s="69"/>
      <c r="H218" s="70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</row>
    <row r="219" ht="15.75" customHeight="1" spans="1:25">
      <c r="A219" s="88"/>
      <c r="B219" s="69"/>
      <c r="C219" s="90"/>
      <c r="D219" s="69"/>
      <c r="E219" s="69"/>
      <c r="F219" s="69"/>
      <c r="G219" s="69"/>
      <c r="H219" s="70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</row>
    <row r="220" ht="15.75" customHeight="1" spans="1:25">
      <c r="A220" s="88"/>
      <c r="B220" s="69"/>
      <c r="C220" s="90"/>
      <c r="D220" s="69"/>
      <c r="E220" s="69"/>
      <c r="F220" s="69"/>
      <c r="G220" s="69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</row>
    <row r="221" ht="15.75" customHeight="1" spans="1:25">
      <c r="A221" s="88"/>
      <c r="B221" s="69"/>
      <c r="C221" s="90"/>
      <c r="D221" s="69"/>
      <c r="E221" s="69"/>
      <c r="F221" s="69"/>
      <c r="G221" s="69"/>
      <c r="H221" s="70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</row>
    <row r="222" ht="15.75" customHeight="1" spans="1:25">
      <c r="A222" s="88"/>
      <c r="B222" s="69"/>
      <c r="C222" s="90"/>
      <c r="D222" s="69"/>
      <c r="E222" s="69"/>
      <c r="F222" s="69"/>
      <c r="G222" s="69"/>
      <c r="H222" s="70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</row>
    <row r="223" ht="15.75" customHeight="1" spans="1:25">
      <c r="A223" s="88"/>
      <c r="B223" s="69"/>
      <c r="C223" s="90"/>
      <c r="D223" s="69"/>
      <c r="E223" s="69"/>
      <c r="F223" s="69"/>
      <c r="G223" s="69"/>
      <c r="H223" s="70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</row>
    <row r="224" ht="15.75" customHeight="1" spans="1:25">
      <c r="A224" s="88"/>
      <c r="B224" s="69"/>
      <c r="C224" s="90"/>
      <c r="D224" s="69"/>
      <c r="E224" s="69"/>
      <c r="F224" s="69"/>
      <c r="G224" s="69"/>
      <c r="H224" s="70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</row>
    <row r="225" ht="15.75" customHeight="1" spans="1:25">
      <c r="A225" s="88"/>
      <c r="B225" s="69"/>
      <c r="C225" s="90"/>
      <c r="D225" s="69"/>
      <c r="E225" s="69"/>
      <c r="F225" s="69"/>
      <c r="G225" s="69"/>
      <c r="H225" s="70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</row>
    <row r="226" ht="15.75" customHeight="1" spans="1:25">
      <c r="A226" s="88"/>
      <c r="B226" s="69"/>
      <c r="C226" s="90"/>
      <c r="D226" s="69"/>
      <c r="E226" s="69"/>
      <c r="F226" s="69"/>
      <c r="G226" s="69"/>
      <c r="H226" s="70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</row>
    <row r="227" ht="15.75" customHeight="1" spans="1:25">
      <c r="A227" s="88"/>
      <c r="B227" s="69"/>
      <c r="C227" s="90"/>
      <c r="D227" s="69"/>
      <c r="E227" s="69"/>
      <c r="F227" s="69"/>
      <c r="G227" s="69"/>
      <c r="H227" s="70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</row>
    <row r="228" ht="15.75" customHeight="1" spans="1:25">
      <c r="A228" s="88"/>
      <c r="B228" s="69"/>
      <c r="C228" s="90"/>
      <c r="D228" s="69"/>
      <c r="E228" s="69"/>
      <c r="F228" s="69"/>
      <c r="G228" s="69"/>
      <c r="H228" s="70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</row>
    <row r="229" ht="15.75" customHeight="1" spans="1:25">
      <c r="A229" s="88"/>
      <c r="B229" s="69"/>
      <c r="C229" s="90"/>
      <c r="D229" s="69"/>
      <c r="E229" s="69"/>
      <c r="F229" s="69"/>
      <c r="G229" s="69"/>
      <c r="H229" s="70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</row>
    <row r="230" ht="15.75" customHeight="1" spans="1:25">
      <c r="A230" s="88"/>
      <c r="B230" s="69"/>
      <c r="C230" s="90"/>
      <c r="D230" s="69"/>
      <c r="E230" s="69"/>
      <c r="F230" s="69"/>
      <c r="G230" s="69"/>
      <c r="H230" s="70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</row>
    <row r="231" ht="15.75" customHeight="1" spans="1:25">
      <c r="A231" s="88"/>
      <c r="B231" s="69"/>
      <c r="C231" s="90"/>
      <c r="D231" s="69"/>
      <c r="E231" s="69"/>
      <c r="F231" s="69"/>
      <c r="G231" s="69"/>
      <c r="H231" s="70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</row>
    <row r="232" ht="15.75" customHeight="1" spans="1:25">
      <c r="A232" s="88"/>
      <c r="B232" s="69"/>
      <c r="C232" s="90"/>
      <c r="D232" s="69"/>
      <c r="E232" s="69"/>
      <c r="F232" s="69"/>
      <c r="G232" s="69"/>
      <c r="H232" s="70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</row>
    <row r="233" ht="15.75" customHeight="1" spans="1:25">
      <c r="A233" s="88"/>
      <c r="B233" s="69"/>
      <c r="C233" s="90"/>
      <c r="D233" s="69"/>
      <c r="E233" s="69"/>
      <c r="F233" s="69"/>
      <c r="G233" s="69"/>
      <c r="H233" s="70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</row>
    <row r="234" ht="15.75" customHeight="1" spans="1:25">
      <c r="A234" s="88"/>
      <c r="B234" s="69"/>
      <c r="C234" s="90"/>
      <c r="D234" s="69"/>
      <c r="E234" s="69"/>
      <c r="F234" s="69"/>
      <c r="G234" s="69"/>
      <c r="H234" s="70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</row>
    <row r="235" ht="15.75" customHeight="1" spans="1:25">
      <c r="A235" s="88"/>
      <c r="B235" s="69"/>
      <c r="C235" s="90"/>
      <c r="D235" s="69"/>
      <c r="E235" s="69"/>
      <c r="F235" s="69"/>
      <c r="G235" s="69"/>
      <c r="H235" s="70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</row>
    <row r="236" ht="15.75" customHeight="1" spans="1:25">
      <c r="A236" s="88"/>
      <c r="B236" s="69"/>
      <c r="C236" s="90"/>
      <c r="D236" s="69"/>
      <c r="E236" s="69"/>
      <c r="F236" s="69"/>
      <c r="G236" s="69"/>
      <c r="H236" s="70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</row>
    <row r="237" ht="15.75" customHeight="1" spans="1:25">
      <c r="A237" s="88"/>
      <c r="B237" s="69"/>
      <c r="C237" s="90"/>
      <c r="D237" s="69"/>
      <c r="E237" s="69"/>
      <c r="F237" s="69"/>
      <c r="G237" s="69"/>
      <c r="H237" s="70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</row>
    <row r="238" ht="15.75" customHeight="1" spans="1:25">
      <c r="A238" s="88"/>
      <c r="B238" s="69"/>
      <c r="C238" s="90"/>
      <c r="D238" s="69"/>
      <c r="E238" s="69"/>
      <c r="F238" s="69"/>
      <c r="G238" s="69"/>
      <c r="H238" s="70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</row>
    <row r="239" ht="15.75" customHeight="1" spans="1:25">
      <c r="A239" s="88"/>
      <c r="B239" s="69"/>
      <c r="C239" s="90"/>
      <c r="D239" s="69"/>
      <c r="E239" s="69"/>
      <c r="F239" s="69"/>
      <c r="G239" s="69"/>
      <c r="H239" s="70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</row>
    <row r="240" ht="15.75" customHeight="1" spans="1:25">
      <c r="A240" s="88"/>
      <c r="B240" s="69"/>
      <c r="C240" s="90"/>
      <c r="D240" s="69"/>
      <c r="E240" s="69"/>
      <c r="F240" s="69"/>
      <c r="G240" s="69"/>
      <c r="H240" s="70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</row>
    <row r="241" ht="15.75" customHeight="1" spans="1:25">
      <c r="A241" s="88"/>
      <c r="B241" s="69"/>
      <c r="C241" s="90"/>
      <c r="D241" s="69"/>
      <c r="E241" s="69"/>
      <c r="F241" s="69"/>
      <c r="G241" s="69"/>
      <c r="H241" s="70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</row>
    <row r="242" ht="15.75" customHeight="1" spans="1:25">
      <c r="A242" s="88"/>
      <c r="B242" s="69"/>
      <c r="C242" s="90"/>
      <c r="D242" s="69"/>
      <c r="E242" s="69"/>
      <c r="F242" s="69"/>
      <c r="G242" s="69"/>
      <c r="H242" s="70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</row>
    <row r="243" ht="15.75" customHeight="1" spans="1:25">
      <c r="A243" s="88"/>
      <c r="B243" s="69"/>
      <c r="C243" s="90"/>
      <c r="D243" s="69"/>
      <c r="E243" s="69"/>
      <c r="F243" s="69"/>
      <c r="G243" s="69"/>
      <c r="H243" s="70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</row>
    <row r="244" ht="15.75" customHeight="1" spans="1:25">
      <c r="A244" s="88"/>
      <c r="B244" s="69"/>
      <c r="C244" s="90"/>
      <c r="D244" s="69"/>
      <c r="E244" s="69"/>
      <c r="F244" s="69"/>
      <c r="G244" s="69"/>
      <c r="H244" s="70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</row>
    <row r="245" ht="15.75" customHeight="1" spans="1:25">
      <c r="A245" s="88"/>
      <c r="B245" s="69"/>
      <c r="C245" s="90"/>
      <c r="D245" s="69"/>
      <c r="E245" s="69"/>
      <c r="F245" s="69"/>
      <c r="G245" s="69"/>
      <c r="H245" s="70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</row>
    <row r="246" ht="15.75" customHeight="1" spans="1:25">
      <c r="A246" s="88"/>
      <c r="B246" s="69"/>
      <c r="C246" s="90"/>
      <c r="D246" s="69"/>
      <c r="E246" s="69"/>
      <c r="F246" s="69"/>
      <c r="G246" s="69"/>
      <c r="H246" s="70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</row>
    <row r="247" ht="15.75" customHeight="1" spans="1:25">
      <c r="A247" s="88"/>
      <c r="B247" s="69"/>
      <c r="C247" s="90"/>
      <c r="D247" s="69"/>
      <c r="E247" s="69"/>
      <c r="F247" s="69"/>
      <c r="G247" s="69"/>
      <c r="H247" s="70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</row>
    <row r="248" ht="15.75" customHeight="1" spans="1:25">
      <c r="A248" s="88"/>
      <c r="B248" s="69"/>
      <c r="C248" s="90"/>
      <c r="D248" s="69"/>
      <c r="E248" s="69"/>
      <c r="F248" s="69"/>
      <c r="G248" s="69"/>
      <c r="H248" s="70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</row>
    <row r="249" ht="15.75" customHeight="1" spans="1:25">
      <c r="A249" s="88"/>
      <c r="B249" s="69"/>
      <c r="C249" s="90"/>
      <c r="D249" s="69"/>
      <c r="E249" s="69"/>
      <c r="F249" s="69"/>
      <c r="G249" s="69"/>
      <c r="H249" s="70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</row>
    <row r="250" ht="15.75" customHeight="1" spans="1:25">
      <c r="A250" s="88"/>
      <c r="B250" s="69"/>
      <c r="C250" s="90"/>
      <c r="D250" s="69"/>
      <c r="E250" s="69"/>
      <c r="F250" s="69"/>
      <c r="G250" s="69"/>
      <c r="H250" s="70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</row>
    <row r="251" ht="15.75" customHeight="1" spans="1:25">
      <c r="A251" s="88"/>
      <c r="B251" s="69"/>
      <c r="C251" s="90"/>
      <c r="D251" s="69"/>
      <c r="E251" s="69"/>
      <c r="F251" s="69"/>
      <c r="G251" s="69"/>
      <c r="H251" s="70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</row>
    <row r="252" ht="15.75" customHeight="1" spans="1:25">
      <c r="A252" s="88"/>
      <c r="B252" s="69"/>
      <c r="C252" s="90"/>
      <c r="D252" s="69"/>
      <c r="E252" s="69"/>
      <c r="F252" s="69"/>
      <c r="G252" s="69"/>
      <c r="H252" s="70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</row>
    <row r="253" ht="15.75" customHeight="1" spans="1:25">
      <c r="A253" s="88"/>
      <c r="B253" s="69"/>
      <c r="C253" s="90"/>
      <c r="D253" s="69"/>
      <c r="E253" s="69"/>
      <c r="F253" s="69"/>
      <c r="G253" s="69"/>
      <c r="H253" s="70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</row>
    <row r="254" ht="15.75" customHeight="1" spans="1:25">
      <c r="A254" s="88"/>
      <c r="B254" s="69"/>
      <c r="C254" s="90"/>
      <c r="D254" s="69"/>
      <c r="E254" s="69"/>
      <c r="F254" s="69"/>
      <c r="G254" s="69"/>
      <c r="H254" s="70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</row>
    <row r="255" ht="15.75" customHeight="1" spans="1:25">
      <c r="A255" s="88"/>
      <c r="B255" s="69"/>
      <c r="C255" s="90"/>
      <c r="D255" s="69"/>
      <c r="E255" s="69"/>
      <c r="F255" s="69"/>
      <c r="G255" s="69"/>
      <c r="H255" s="70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</row>
    <row r="256" ht="15.75" customHeight="1" spans="1:25">
      <c r="A256" s="88"/>
      <c r="B256" s="69"/>
      <c r="C256" s="90"/>
      <c r="D256" s="69"/>
      <c r="E256" s="69"/>
      <c r="F256" s="69"/>
      <c r="G256" s="69"/>
      <c r="H256" s="70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</row>
    <row r="257" ht="15.75" customHeight="1" spans="1:25">
      <c r="A257" s="88"/>
      <c r="B257" s="69"/>
      <c r="C257" s="90"/>
      <c r="D257" s="69"/>
      <c r="E257" s="69"/>
      <c r="F257" s="69"/>
      <c r="G257" s="69"/>
      <c r="H257" s="70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</row>
    <row r="258" ht="15.75" customHeight="1" spans="1:25">
      <c r="A258" s="88"/>
      <c r="B258" s="69"/>
      <c r="C258" s="90"/>
      <c r="D258" s="69"/>
      <c r="E258" s="69"/>
      <c r="F258" s="69"/>
      <c r="G258" s="69"/>
      <c r="H258" s="70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</row>
    <row r="259" ht="15.75" customHeight="1" spans="1:25">
      <c r="A259" s="88"/>
      <c r="B259" s="69"/>
      <c r="C259" s="90"/>
      <c r="D259" s="69"/>
      <c r="E259" s="69"/>
      <c r="F259" s="69"/>
      <c r="G259" s="69"/>
      <c r="H259" s="70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</row>
    <row r="260" ht="15.75" customHeight="1" spans="1:25">
      <c r="A260" s="88"/>
      <c r="B260" s="69"/>
      <c r="C260" s="90"/>
      <c r="D260" s="69"/>
      <c r="E260" s="69"/>
      <c r="F260" s="69"/>
      <c r="G260" s="69"/>
      <c r="H260" s="70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</row>
    <row r="261" ht="15.75" customHeight="1" spans="1:25">
      <c r="A261" s="88"/>
      <c r="B261" s="69"/>
      <c r="C261" s="90"/>
      <c r="D261" s="69"/>
      <c r="E261" s="69"/>
      <c r="F261" s="69"/>
      <c r="G261" s="69"/>
      <c r="H261" s="70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</row>
    <row r="262" ht="15.75" customHeight="1" spans="1:25">
      <c r="A262" s="88"/>
      <c r="B262" s="69"/>
      <c r="C262" s="90"/>
      <c r="D262" s="69"/>
      <c r="E262" s="69"/>
      <c r="F262" s="69"/>
      <c r="G262" s="69"/>
      <c r="H262" s="70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</row>
    <row r="263" ht="15.75" customHeight="1" spans="1:25">
      <c r="A263" s="88"/>
      <c r="B263" s="69"/>
      <c r="C263" s="90"/>
      <c r="D263" s="69"/>
      <c r="E263" s="69"/>
      <c r="F263" s="69"/>
      <c r="G263" s="69"/>
      <c r="H263" s="70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</row>
    <row r="264" ht="15.75" customHeight="1" spans="1:25">
      <c r="A264" s="88"/>
      <c r="B264" s="69"/>
      <c r="C264" s="90"/>
      <c r="D264" s="69"/>
      <c r="E264" s="69"/>
      <c r="F264" s="69"/>
      <c r="G264" s="69"/>
      <c r="H264" s="70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</row>
    <row r="265" ht="15.75" customHeight="1" spans="1:25">
      <c r="A265" s="88"/>
      <c r="B265" s="69"/>
      <c r="C265" s="90"/>
      <c r="D265" s="69"/>
      <c r="E265" s="69"/>
      <c r="F265" s="69"/>
      <c r="G265" s="69"/>
      <c r="H265" s="70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</row>
    <row r="266" ht="15.75" customHeight="1" spans="1:25">
      <c r="A266" s="88"/>
      <c r="B266" s="69"/>
      <c r="C266" s="90"/>
      <c r="D266" s="69"/>
      <c r="E266" s="69"/>
      <c r="F266" s="69"/>
      <c r="G266" s="69"/>
      <c r="H266" s="70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</row>
    <row r="267" ht="15.75" customHeight="1" spans="1:25">
      <c r="A267" s="88"/>
      <c r="B267" s="69"/>
      <c r="C267" s="90"/>
      <c r="D267" s="69"/>
      <c r="E267" s="69"/>
      <c r="F267" s="69"/>
      <c r="G267" s="69"/>
      <c r="H267" s="70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</row>
    <row r="268" ht="15.75" customHeight="1" spans="1:25">
      <c r="A268" s="88"/>
      <c r="B268" s="69"/>
      <c r="C268" s="90"/>
      <c r="D268" s="69"/>
      <c r="E268" s="69"/>
      <c r="F268" s="69"/>
      <c r="G268" s="69"/>
      <c r="H268" s="70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</row>
    <row r="269" ht="15.75" customHeight="1" spans="1:25">
      <c r="A269" s="88"/>
      <c r="B269" s="69"/>
      <c r="C269" s="90"/>
      <c r="D269" s="69"/>
      <c r="E269" s="69"/>
      <c r="F269" s="69"/>
      <c r="G269" s="69"/>
      <c r="H269" s="70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</row>
    <row r="270" ht="15.75" customHeight="1" spans="1:25">
      <c r="A270" s="88"/>
      <c r="B270" s="69"/>
      <c r="C270" s="90"/>
      <c r="D270" s="69"/>
      <c r="E270" s="69"/>
      <c r="F270" s="69"/>
      <c r="G270" s="69"/>
      <c r="H270" s="70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</row>
    <row r="271" ht="15.75" customHeight="1" spans="1:25">
      <c r="A271" s="88"/>
      <c r="B271" s="69"/>
      <c r="C271" s="90"/>
      <c r="D271" s="69"/>
      <c r="E271" s="69"/>
      <c r="F271" s="69"/>
      <c r="G271" s="69"/>
      <c r="H271" s="70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</row>
    <row r="272" ht="15.75" customHeight="1" spans="1:25">
      <c r="A272" s="88"/>
      <c r="B272" s="69"/>
      <c r="C272" s="90"/>
      <c r="D272" s="69"/>
      <c r="E272" s="69"/>
      <c r="F272" s="69"/>
      <c r="G272" s="69"/>
      <c r="H272" s="70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</row>
    <row r="273" ht="15.75" customHeight="1" spans="1:25">
      <c r="A273" s="88"/>
      <c r="B273" s="69"/>
      <c r="C273" s="90"/>
      <c r="D273" s="69"/>
      <c r="E273" s="69"/>
      <c r="F273" s="69"/>
      <c r="G273" s="69"/>
      <c r="H273" s="70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</row>
    <row r="274" ht="15.75" customHeight="1" spans="1:25">
      <c r="A274" s="88"/>
      <c r="B274" s="69"/>
      <c r="C274" s="90"/>
      <c r="D274" s="69"/>
      <c r="E274" s="69"/>
      <c r="F274" s="69"/>
      <c r="G274" s="69"/>
      <c r="H274" s="70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</row>
    <row r="275" ht="15.75" customHeight="1" spans="1:25">
      <c r="A275" s="88"/>
      <c r="B275" s="69"/>
      <c r="C275" s="90"/>
      <c r="D275" s="69"/>
      <c r="E275" s="69"/>
      <c r="F275" s="69"/>
      <c r="G275" s="69"/>
      <c r="H275" s="70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</row>
    <row r="276" ht="15.75" customHeight="1" spans="1:25">
      <c r="A276" s="88"/>
      <c r="B276" s="69"/>
      <c r="C276" s="90"/>
      <c r="D276" s="69"/>
      <c r="E276" s="69"/>
      <c r="F276" s="69"/>
      <c r="G276" s="69"/>
      <c r="H276" s="70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</row>
    <row r="277" ht="15.75" customHeight="1" spans="1:25">
      <c r="A277" s="88"/>
      <c r="B277" s="69"/>
      <c r="C277" s="90"/>
      <c r="D277" s="69"/>
      <c r="E277" s="69"/>
      <c r="F277" s="69"/>
      <c r="G277" s="69"/>
      <c r="H277" s="70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</row>
    <row r="278" ht="15.75" customHeight="1" spans="1:25">
      <c r="A278" s="88"/>
      <c r="B278" s="69"/>
      <c r="C278" s="90"/>
      <c r="D278" s="69"/>
      <c r="E278" s="69"/>
      <c r="F278" s="69"/>
      <c r="G278" s="69"/>
      <c r="H278" s="70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</row>
    <row r="279" ht="15.75" customHeight="1" spans="1:25">
      <c r="A279" s="88"/>
      <c r="B279" s="69"/>
      <c r="C279" s="90"/>
      <c r="D279" s="69"/>
      <c r="E279" s="69"/>
      <c r="F279" s="69"/>
      <c r="G279" s="69"/>
      <c r="H279" s="70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</row>
    <row r="280" ht="15.75" customHeight="1" spans="1:25">
      <c r="A280" s="88"/>
      <c r="B280" s="69"/>
      <c r="C280" s="90"/>
      <c r="D280" s="69"/>
      <c r="E280" s="69"/>
      <c r="F280" s="69"/>
      <c r="G280" s="69"/>
      <c r="H280" s="70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</row>
    <row r="281" ht="15.75" customHeight="1" spans="1:25">
      <c r="A281" s="88"/>
      <c r="B281" s="69"/>
      <c r="C281" s="90"/>
      <c r="D281" s="69"/>
      <c r="E281" s="69"/>
      <c r="F281" s="69"/>
      <c r="G281" s="69"/>
      <c r="H281" s="70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</row>
    <row r="282" ht="15.75" customHeight="1" spans="1:25">
      <c r="A282" s="88"/>
      <c r="B282" s="69"/>
      <c r="C282" s="90"/>
      <c r="D282" s="69"/>
      <c r="E282" s="69"/>
      <c r="F282" s="69"/>
      <c r="G282" s="69"/>
      <c r="H282" s="70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</row>
    <row r="283" ht="15.75" customHeight="1" spans="1:25">
      <c r="A283" s="88"/>
      <c r="B283" s="69"/>
      <c r="C283" s="90"/>
      <c r="D283" s="69"/>
      <c r="E283" s="69"/>
      <c r="F283" s="69"/>
      <c r="G283" s="69"/>
      <c r="H283" s="70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</row>
    <row r="284" ht="15.75" customHeight="1" spans="1:25">
      <c r="A284" s="88"/>
      <c r="B284" s="69"/>
      <c r="C284" s="90"/>
      <c r="D284" s="69"/>
      <c r="E284" s="69"/>
      <c r="F284" s="69"/>
      <c r="G284" s="69"/>
      <c r="H284" s="70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</row>
    <row r="285" ht="15.75" customHeight="1" spans="1:25">
      <c r="A285" s="88"/>
      <c r="B285" s="69"/>
      <c r="C285" s="90"/>
      <c r="D285" s="69"/>
      <c r="E285" s="69"/>
      <c r="F285" s="69"/>
      <c r="G285" s="69"/>
      <c r="H285" s="70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</row>
    <row r="286" ht="15.75" customHeight="1" spans="1:25">
      <c r="A286" s="88"/>
      <c r="B286" s="69"/>
      <c r="C286" s="90"/>
      <c r="D286" s="69"/>
      <c r="E286" s="69"/>
      <c r="F286" s="69"/>
      <c r="G286" s="69"/>
      <c r="H286" s="70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</row>
    <row r="287" ht="15.75" customHeight="1" spans="1:25">
      <c r="A287" s="88"/>
      <c r="B287" s="69"/>
      <c r="C287" s="90"/>
      <c r="D287" s="69"/>
      <c r="E287" s="69"/>
      <c r="F287" s="69"/>
      <c r="G287" s="69"/>
      <c r="H287" s="70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</row>
    <row r="288" ht="15.75" customHeight="1" spans="1:25">
      <c r="A288" s="88"/>
      <c r="B288" s="69"/>
      <c r="C288" s="90"/>
      <c r="D288" s="69"/>
      <c r="E288" s="69"/>
      <c r="F288" s="69"/>
      <c r="G288" s="69"/>
      <c r="H288" s="70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</row>
    <row r="289" ht="15.75" customHeight="1" spans="1:25">
      <c r="A289" s="88"/>
      <c r="B289" s="69"/>
      <c r="C289" s="90"/>
      <c r="D289" s="69"/>
      <c r="E289" s="69"/>
      <c r="F289" s="69"/>
      <c r="G289" s="69"/>
      <c r="H289" s="70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</row>
    <row r="290" ht="15.75" customHeight="1" spans="1:25">
      <c r="A290" s="88"/>
      <c r="B290" s="69"/>
      <c r="C290" s="90"/>
      <c r="D290" s="69"/>
      <c r="E290" s="69"/>
      <c r="F290" s="69"/>
      <c r="G290" s="69"/>
      <c r="H290" s="70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</row>
    <row r="291" ht="15.75" customHeight="1" spans="1:25">
      <c r="A291" s="88"/>
      <c r="B291" s="69"/>
      <c r="C291" s="90"/>
      <c r="D291" s="69"/>
      <c r="E291" s="69"/>
      <c r="F291" s="69"/>
      <c r="G291" s="69"/>
      <c r="H291" s="70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</row>
    <row r="292" ht="15.75" customHeight="1" spans="1:25">
      <c r="A292" s="88"/>
      <c r="B292" s="69"/>
      <c r="C292" s="90"/>
      <c r="D292" s="69"/>
      <c r="E292" s="69"/>
      <c r="F292" s="69"/>
      <c r="G292" s="69"/>
      <c r="H292" s="70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</row>
    <row r="293" ht="15.75" customHeight="1" spans="1:25">
      <c r="A293" s="88"/>
      <c r="B293" s="69"/>
      <c r="C293" s="90"/>
      <c r="D293" s="69"/>
      <c r="E293" s="69"/>
      <c r="F293" s="69"/>
      <c r="G293" s="69"/>
      <c r="H293" s="70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</row>
    <row r="294" ht="15.75" customHeight="1" spans="1:25">
      <c r="A294" s="88"/>
      <c r="B294" s="69"/>
      <c r="C294" s="90"/>
      <c r="D294" s="69"/>
      <c r="E294" s="69"/>
      <c r="F294" s="69"/>
      <c r="G294" s="69"/>
      <c r="H294" s="70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</row>
    <row r="295" ht="15.75" customHeight="1" spans="1:25">
      <c r="A295" s="88"/>
      <c r="B295" s="69"/>
      <c r="C295" s="90"/>
      <c r="D295" s="69"/>
      <c r="E295" s="69"/>
      <c r="F295" s="69"/>
      <c r="G295" s="69"/>
      <c r="H295" s="70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</row>
    <row r="296" ht="15.75" customHeight="1" spans="1:25">
      <c r="A296" s="88"/>
      <c r="B296" s="69"/>
      <c r="C296" s="90"/>
      <c r="D296" s="69"/>
      <c r="E296" s="69"/>
      <c r="F296" s="69"/>
      <c r="G296" s="69"/>
      <c r="H296" s="70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</row>
    <row r="297" ht="15.75" customHeight="1" spans="1:25">
      <c r="A297" s="88"/>
      <c r="B297" s="69"/>
      <c r="C297" s="90"/>
      <c r="D297" s="69"/>
      <c r="E297" s="69"/>
      <c r="F297" s="69"/>
      <c r="G297" s="69"/>
      <c r="H297" s="70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</row>
    <row r="298" ht="15.75" customHeight="1" spans="1:25">
      <c r="A298" s="88"/>
      <c r="B298" s="69"/>
      <c r="C298" s="90"/>
      <c r="D298" s="69"/>
      <c r="E298" s="69"/>
      <c r="F298" s="69"/>
      <c r="G298" s="69"/>
      <c r="H298" s="70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</row>
    <row r="299" ht="15.75" customHeight="1" spans="1:25">
      <c r="A299" s="88"/>
      <c r="B299" s="69"/>
      <c r="C299" s="90"/>
      <c r="D299" s="69"/>
      <c r="E299" s="69"/>
      <c r="F299" s="69"/>
      <c r="G299" s="69"/>
      <c r="H299" s="70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</row>
    <row r="300" ht="15.75" customHeight="1" spans="1:25">
      <c r="A300" s="88"/>
      <c r="B300" s="69"/>
      <c r="C300" s="90"/>
      <c r="D300" s="69"/>
      <c r="E300" s="69"/>
      <c r="F300" s="69"/>
      <c r="G300" s="69"/>
      <c r="H300" s="70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</row>
    <row r="301" ht="15.75" customHeight="1" spans="1:25">
      <c r="A301" s="88"/>
      <c r="B301" s="69"/>
      <c r="C301" s="90"/>
      <c r="D301" s="69"/>
      <c r="E301" s="69"/>
      <c r="F301" s="69"/>
      <c r="G301" s="69"/>
      <c r="H301" s="70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</row>
    <row r="302" ht="15.75" customHeight="1" spans="1:25">
      <c r="A302" s="88"/>
      <c r="B302" s="69"/>
      <c r="C302" s="90"/>
      <c r="D302" s="69"/>
      <c r="E302" s="69"/>
      <c r="F302" s="69"/>
      <c r="G302" s="69"/>
      <c r="H302" s="70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</row>
    <row r="303" ht="15.75" customHeight="1" spans="1:25">
      <c r="A303" s="88"/>
      <c r="B303" s="69"/>
      <c r="C303" s="90"/>
      <c r="D303" s="69"/>
      <c r="E303" s="69"/>
      <c r="F303" s="69"/>
      <c r="G303" s="69"/>
      <c r="H303" s="70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</row>
    <row r="304" ht="15.75" customHeight="1" spans="1:25">
      <c r="A304" s="88"/>
      <c r="B304" s="69"/>
      <c r="C304" s="90"/>
      <c r="D304" s="69"/>
      <c r="E304" s="69"/>
      <c r="F304" s="69"/>
      <c r="G304" s="69"/>
      <c r="H304" s="70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</row>
    <row r="305" ht="15.75" customHeight="1" spans="1:25">
      <c r="A305" s="88"/>
      <c r="B305" s="69"/>
      <c r="C305" s="90"/>
      <c r="D305" s="69"/>
      <c r="E305" s="69"/>
      <c r="F305" s="69"/>
      <c r="G305" s="69"/>
      <c r="H305" s="70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</row>
    <row r="306" ht="15.75" customHeight="1" spans="1:25">
      <c r="A306" s="88"/>
      <c r="B306" s="69"/>
      <c r="C306" s="90"/>
      <c r="D306" s="69"/>
      <c r="E306" s="69"/>
      <c r="F306" s="69"/>
      <c r="G306" s="69"/>
      <c r="H306" s="70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</row>
    <row r="307" ht="15.75" customHeight="1" spans="1:25">
      <c r="A307" s="88"/>
      <c r="B307" s="69"/>
      <c r="C307" s="90"/>
      <c r="D307" s="69"/>
      <c r="E307" s="69"/>
      <c r="F307" s="69"/>
      <c r="G307" s="69"/>
      <c r="H307" s="70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</row>
    <row r="308" ht="15.75" customHeight="1" spans="1:25">
      <c r="A308" s="88"/>
      <c r="B308" s="69"/>
      <c r="C308" s="90"/>
      <c r="D308" s="69"/>
      <c r="E308" s="69"/>
      <c r="F308" s="69"/>
      <c r="G308" s="69"/>
      <c r="H308" s="70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</row>
    <row r="309" ht="15.75" customHeight="1" spans="1:25">
      <c r="A309" s="88"/>
      <c r="B309" s="69"/>
      <c r="C309" s="90"/>
      <c r="D309" s="69"/>
      <c r="E309" s="69"/>
      <c r="F309" s="69"/>
      <c r="G309" s="69"/>
      <c r="H309" s="70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</row>
    <row r="310" ht="15.75" customHeight="1" spans="1:25">
      <c r="A310" s="88"/>
      <c r="B310" s="69"/>
      <c r="C310" s="90"/>
      <c r="D310" s="69"/>
      <c r="E310" s="69"/>
      <c r="F310" s="69"/>
      <c r="G310" s="69"/>
      <c r="H310" s="70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</row>
    <row r="311" ht="15.75" customHeight="1" spans="1:25">
      <c r="A311" s="88"/>
      <c r="B311" s="69"/>
      <c r="C311" s="90"/>
      <c r="D311" s="69"/>
      <c r="E311" s="69"/>
      <c r="F311" s="69"/>
      <c r="G311" s="69"/>
      <c r="H311" s="70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</row>
    <row r="312" ht="15.75" customHeight="1" spans="1:25">
      <c r="A312" s="88"/>
      <c r="B312" s="69"/>
      <c r="C312" s="90"/>
      <c r="D312" s="69"/>
      <c r="E312" s="69"/>
      <c r="F312" s="69"/>
      <c r="G312" s="69"/>
      <c r="H312" s="70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</row>
    <row r="313" ht="15.75" customHeight="1" spans="1:25">
      <c r="A313" s="88"/>
      <c r="B313" s="69"/>
      <c r="C313" s="90"/>
      <c r="D313" s="69"/>
      <c r="E313" s="69"/>
      <c r="F313" s="69"/>
      <c r="G313" s="69"/>
      <c r="H313" s="70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</row>
    <row r="314" ht="15.75" customHeight="1" spans="1:25">
      <c r="A314" s="88"/>
      <c r="B314" s="69"/>
      <c r="C314" s="90"/>
      <c r="D314" s="69"/>
      <c r="E314" s="69"/>
      <c r="F314" s="69"/>
      <c r="G314" s="69"/>
      <c r="H314" s="70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</row>
    <row r="315" ht="15.75" customHeight="1" spans="1:25">
      <c r="A315" s="88"/>
      <c r="B315" s="69"/>
      <c r="C315" s="90"/>
      <c r="D315" s="69"/>
      <c r="E315" s="69"/>
      <c r="F315" s="69"/>
      <c r="G315" s="69"/>
      <c r="H315" s="70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</row>
    <row r="316" ht="15.75" customHeight="1" spans="1:25">
      <c r="A316" s="88"/>
      <c r="B316" s="69"/>
      <c r="C316" s="90"/>
      <c r="D316" s="69"/>
      <c r="E316" s="69"/>
      <c r="F316" s="69"/>
      <c r="G316" s="69"/>
      <c r="H316" s="70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</row>
    <row r="317" ht="15.75" customHeight="1" spans="1:25">
      <c r="A317" s="88"/>
      <c r="B317" s="69"/>
      <c r="C317" s="90"/>
      <c r="D317" s="69"/>
      <c r="E317" s="69"/>
      <c r="F317" s="69"/>
      <c r="G317" s="69"/>
      <c r="H317" s="70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</row>
    <row r="318" ht="15.75" customHeight="1" spans="1:25">
      <c r="A318" s="88"/>
      <c r="B318" s="69"/>
      <c r="C318" s="90"/>
      <c r="D318" s="69"/>
      <c r="E318" s="69"/>
      <c r="F318" s="69"/>
      <c r="G318" s="69"/>
      <c r="H318" s="70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</row>
    <row r="319" ht="15.75" customHeight="1" spans="1:25">
      <c r="A319" s="88"/>
      <c r="B319" s="69"/>
      <c r="C319" s="90"/>
      <c r="D319" s="69"/>
      <c r="E319" s="69"/>
      <c r="F319" s="69"/>
      <c r="G319" s="69"/>
      <c r="H319" s="70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</row>
    <row r="320" ht="15.75" customHeight="1" spans="1:25">
      <c r="A320" s="88"/>
      <c r="B320" s="69"/>
      <c r="C320" s="90"/>
      <c r="D320" s="69"/>
      <c r="E320" s="69"/>
      <c r="F320" s="69"/>
      <c r="G320" s="69"/>
      <c r="H320" s="70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</row>
    <row r="321" ht="15.75" customHeight="1" spans="1:25">
      <c r="A321" s="88"/>
      <c r="B321" s="69"/>
      <c r="C321" s="90"/>
      <c r="D321" s="69"/>
      <c r="E321" s="69"/>
      <c r="F321" s="69"/>
      <c r="G321" s="69"/>
      <c r="H321" s="70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</row>
    <row r="322" ht="15.75" customHeight="1" spans="1:25">
      <c r="A322" s="88"/>
      <c r="B322" s="69"/>
      <c r="C322" s="90"/>
      <c r="D322" s="69"/>
      <c r="E322" s="69"/>
      <c r="F322" s="69"/>
      <c r="G322" s="69"/>
      <c r="H322" s="70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</row>
    <row r="323" ht="15.75" customHeight="1" spans="1:25">
      <c r="A323" s="88"/>
      <c r="B323" s="69"/>
      <c r="C323" s="90"/>
      <c r="D323" s="69"/>
      <c r="E323" s="69"/>
      <c r="F323" s="69"/>
      <c r="G323" s="69"/>
      <c r="H323" s="70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</row>
    <row r="324" ht="15.75" customHeight="1" spans="1:25">
      <c r="A324" s="88"/>
      <c r="B324" s="69"/>
      <c r="C324" s="90"/>
      <c r="D324" s="69"/>
      <c r="E324" s="69"/>
      <c r="F324" s="69"/>
      <c r="G324" s="69"/>
      <c r="H324" s="70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</row>
    <row r="325" ht="15.75" customHeight="1" spans="1:25">
      <c r="A325" s="88"/>
      <c r="B325" s="69"/>
      <c r="C325" s="90"/>
      <c r="D325" s="69"/>
      <c r="E325" s="69"/>
      <c r="F325" s="69"/>
      <c r="G325" s="69"/>
      <c r="H325" s="70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</row>
    <row r="326" ht="15.75" customHeight="1" spans="1:25">
      <c r="A326" s="88"/>
      <c r="B326" s="69"/>
      <c r="C326" s="90"/>
      <c r="D326" s="69"/>
      <c r="E326" s="69"/>
      <c r="F326" s="69"/>
      <c r="G326" s="69"/>
      <c r="H326" s="70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</row>
    <row r="327" ht="15.75" customHeight="1" spans="1:25">
      <c r="A327" s="88"/>
      <c r="B327" s="69"/>
      <c r="C327" s="90"/>
      <c r="D327" s="69"/>
      <c r="E327" s="69"/>
      <c r="F327" s="69"/>
      <c r="G327" s="69"/>
      <c r="H327" s="70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</row>
    <row r="328" ht="15.75" customHeight="1" spans="1:25">
      <c r="A328" s="88"/>
      <c r="B328" s="69"/>
      <c r="C328" s="90"/>
      <c r="D328" s="69"/>
      <c r="E328" s="69"/>
      <c r="F328" s="69"/>
      <c r="G328" s="69"/>
      <c r="H328" s="70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</row>
    <row r="329" ht="15.75" customHeight="1" spans="1:25">
      <c r="A329" s="88"/>
      <c r="B329" s="69"/>
      <c r="C329" s="90"/>
      <c r="D329" s="69"/>
      <c r="E329" s="69"/>
      <c r="F329" s="69"/>
      <c r="G329" s="69"/>
      <c r="H329" s="70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</row>
    <row r="330" ht="15.75" customHeight="1" spans="1:25">
      <c r="A330" s="88"/>
      <c r="B330" s="69"/>
      <c r="C330" s="90"/>
      <c r="D330" s="69"/>
      <c r="E330" s="69"/>
      <c r="F330" s="69"/>
      <c r="G330" s="69"/>
      <c r="H330" s="70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</row>
    <row r="331" ht="15.75" customHeight="1" spans="1:25">
      <c r="A331" s="88"/>
      <c r="B331" s="69"/>
      <c r="C331" s="90"/>
      <c r="D331" s="69"/>
      <c r="E331" s="69"/>
      <c r="F331" s="69"/>
      <c r="G331" s="69"/>
      <c r="H331" s="70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</row>
    <row r="332" ht="15.75" customHeight="1" spans="1:25">
      <c r="A332" s="88"/>
      <c r="B332" s="69"/>
      <c r="C332" s="90"/>
      <c r="D332" s="69"/>
      <c r="E332" s="69"/>
      <c r="F332" s="69"/>
      <c r="G332" s="69"/>
      <c r="H332" s="70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</row>
    <row r="333" ht="15.75" customHeight="1" spans="1:25">
      <c r="A333" s="88"/>
      <c r="B333" s="69"/>
      <c r="C333" s="90"/>
      <c r="D333" s="69"/>
      <c r="E333" s="69"/>
      <c r="F333" s="69"/>
      <c r="G333" s="69"/>
      <c r="H333" s="70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</row>
    <row r="334" ht="15.75" customHeight="1" spans="1:25">
      <c r="A334" s="88"/>
      <c r="B334" s="69"/>
      <c r="C334" s="90"/>
      <c r="D334" s="69"/>
      <c r="E334" s="69"/>
      <c r="F334" s="69"/>
      <c r="G334" s="69"/>
      <c r="H334" s="70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</row>
    <row r="335" ht="15.75" customHeight="1" spans="1:25">
      <c r="A335" s="88"/>
      <c r="B335" s="69"/>
      <c r="C335" s="90"/>
      <c r="D335" s="69"/>
      <c r="E335" s="69"/>
      <c r="F335" s="69"/>
      <c r="G335" s="69"/>
      <c r="H335" s="70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</row>
    <row r="336" ht="15.75" customHeight="1" spans="1:25">
      <c r="A336" s="88"/>
      <c r="B336" s="69"/>
      <c r="C336" s="90"/>
      <c r="D336" s="69"/>
      <c r="E336" s="69"/>
      <c r="F336" s="69"/>
      <c r="G336" s="69"/>
      <c r="H336" s="70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</row>
    <row r="337" ht="15.75" customHeight="1" spans="1:25">
      <c r="A337" s="88"/>
      <c r="B337" s="69"/>
      <c r="C337" s="90"/>
      <c r="D337" s="69"/>
      <c r="E337" s="69"/>
      <c r="F337" s="69"/>
      <c r="G337" s="69"/>
      <c r="H337" s="70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</row>
    <row r="338" ht="15.75" customHeight="1" spans="1:25">
      <c r="A338" s="88"/>
      <c r="B338" s="69"/>
      <c r="C338" s="90"/>
      <c r="D338" s="69"/>
      <c r="E338" s="69"/>
      <c r="F338" s="69"/>
      <c r="G338" s="69"/>
      <c r="H338" s="70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</row>
    <row r="339" ht="15.75" customHeight="1" spans="1:25">
      <c r="A339" s="88"/>
      <c r="B339" s="69"/>
      <c r="C339" s="90"/>
      <c r="D339" s="69"/>
      <c r="E339" s="69"/>
      <c r="F339" s="69"/>
      <c r="G339" s="69"/>
      <c r="H339" s="70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</row>
    <row r="340" ht="15.75" customHeight="1" spans="1:25">
      <c r="A340" s="88"/>
      <c r="B340" s="69"/>
      <c r="C340" s="90"/>
      <c r="D340" s="69"/>
      <c r="E340" s="69"/>
      <c r="F340" s="69"/>
      <c r="G340" s="69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</row>
    <row r="341" ht="15.75" customHeight="1" spans="1:25">
      <c r="A341" s="88"/>
      <c r="B341" s="69"/>
      <c r="C341" s="90"/>
      <c r="D341" s="69"/>
      <c r="E341" s="69"/>
      <c r="F341" s="69"/>
      <c r="G341" s="69"/>
      <c r="H341" s="70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</row>
    <row r="342" ht="15.75" customHeight="1" spans="1:25">
      <c r="A342" s="88"/>
      <c r="B342" s="69"/>
      <c r="C342" s="90"/>
      <c r="D342" s="69"/>
      <c r="E342" s="69"/>
      <c r="F342" s="69"/>
      <c r="G342" s="69"/>
      <c r="H342" s="70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</row>
    <row r="343" ht="15.75" customHeight="1" spans="1:25">
      <c r="A343" s="88"/>
      <c r="B343" s="69"/>
      <c r="C343" s="90"/>
      <c r="D343" s="69"/>
      <c r="E343" s="69"/>
      <c r="F343" s="69"/>
      <c r="G343" s="69"/>
      <c r="H343" s="70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</row>
    <row r="344" ht="15.75" customHeight="1" spans="1:25">
      <c r="A344" s="88"/>
      <c r="B344" s="69"/>
      <c r="C344" s="90"/>
      <c r="D344" s="69"/>
      <c r="E344" s="69"/>
      <c r="F344" s="69"/>
      <c r="G344" s="69"/>
      <c r="H344" s="70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</row>
    <row r="345" ht="15.75" customHeight="1" spans="1:25">
      <c r="A345" s="88"/>
      <c r="B345" s="69"/>
      <c r="C345" s="90"/>
      <c r="D345" s="69"/>
      <c r="E345" s="69"/>
      <c r="F345" s="69"/>
      <c r="G345" s="69"/>
      <c r="H345" s="70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</row>
    <row r="346" ht="15.75" customHeight="1" spans="1:25">
      <c r="A346" s="88"/>
      <c r="B346" s="69"/>
      <c r="C346" s="90"/>
      <c r="D346" s="69"/>
      <c r="E346" s="69"/>
      <c r="F346" s="69"/>
      <c r="G346" s="69"/>
      <c r="H346" s="70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</row>
    <row r="347" ht="15.75" customHeight="1" spans="1:25">
      <c r="A347" s="88"/>
      <c r="B347" s="69"/>
      <c r="C347" s="90"/>
      <c r="D347" s="69"/>
      <c r="E347" s="69"/>
      <c r="F347" s="69"/>
      <c r="G347" s="69"/>
      <c r="H347" s="70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</row>
    <row r="348" ht="15.75" customHeight="1" spans="1:25">
      <c r="A348" s="88"/>
      <c r="B348" s="69"/>
      <c r="C348" s="90"/>
      <c r="D348" s="69"/>
      <c r="E348" s="69"/>
      <c r="F348" s="69"/>
      <c r="G348" s="69"/>
      <c r="H348" s="70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</row>
    <row r="349" ht="15.75" customHeight="1" spans="1:25">
      <c r="A349" s="88"/>
      <c r="B349" s="69"/>
      <c r="C349" s="90"/>
      <c r="D349" s="69"/>
      <c r="E349" s="69"/>
      <c r="F349" s="69"/>
      <c r="G349" s="69"/>
      <c r="H349" s="70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</row>
    <row r="350" ht="15.75" customHeight="1" spans="1:25">
      <c r="A350" s="88"/>
      <c r="B350" s="69"/>
      <c r="C350" s="90"/>
      <c r="D350" s="69"/>
      <c r="E350" s="69"/>
      <c r="F350" s="69"/>
      <c r="G350" s="69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</row>
    <row r="351" ht="15.75" customHeight="1" spans="1:25">
      <c r="A351" s="88"/>
      <c r="B351" s="69"/>
      <c r="C351" s="90"/>
      <c r="D351" s="69"/>
      <c r="E351" s="69"/>
      <c r="F351" s="69"/>
      <c r="G351" s="69"/>
      <c r="H351" s="70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</row>
    <row r="352" ht="15.75" customHeight="1" spans="1:25">
      <c r="A352" s="88"/>
      <c r="B352" s="69"/>
      <c r="C352" s="90"/>
      <c r="D352" s="69"/>
      <c r="E352" s="69"/>
      <c r="F352" s="69"/>
      <c r="G352" s="69"/>
      <c r="H352" s="70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</row>
    <row r="353" ht="15.75" customHeight="1" spans="1:25">
      <c r="A353" s="88"/>
      <c r="B353" s="69"/>
      <c r="C353" s="90"/>
      <c r="D353" s="69"/>
      <c r="E353" s="69"/>
      <c r="F353" s="69"/>
      <c r="G353" s="69"/>
      <c r="H353" s="70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</row>
    <row r="354" ht="15.75" customHeight="1" spans="1:25">
      <c r="A354" s="88"/>
      <c r="B354" s="69"/>
      <c r="C354" s="90"/>
      <c r="D354" s="69"/>
      <c r="E354" s="69"/>
      <c r="F354" s="69"/>
      <c r="G354" s="69"/>
      <c r="H354" s="70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</row>
    <row r="355" ht="15.75" customHeight="1" spans="1:25">
      <c r="A355" s="88"/>
      <c r="B355" s="69"/>
      <c r="C355" s="90"/>
      <c r="D355" s="69"/>
      <c r="E355" s="69"/>
      <c r="F355" s="69"/>
      <c r="G355" s="69"/>
      <c r="H355" s="70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</row>
    <row r="356" ht="15.75" customHeight="1" spans="1:25">
      <c r="A356" s="88"/>
      <c r="B356" s="69"/>
      <c r="C356" s="90"/>
      <c r="D356" s="69"/>
      <c r="E356" s="69"/>
      <c r="F356" s="69"/>
      <c r="G356" s="69"/>
      <c r="H356" s="70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</row>
    <row r="357" ht="15.75" customHeight="1" spans="1:25">
      <c r="A357" s="88"/>
      <c r="B357" s="69"/>
      <c r="C357" s="90"/>
      <c r="D357" s="69"/>
      <c r="E357" s="69"/>
      <c r="F357" s="69"/>
      <c r="G357" s="69"/>
      <c r="H357" s="70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</row>
    <row r="358" ht="15.75" customHeight="1" spans="1:25">
      <c r="A358" s="88"/>
      <c r="B358" s="69"/>
      <c r="C358" s="90"/>
      <c r="D358" s="69"/>
      <c r="E358" s="69"/>
      <c r="F358" s="69"/>
      <c r="G358" s="69"/>
      <c r="H358" s="70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</row>
    <row r="359" ht="15.75" customHeight="1" spans="1:25">
      <c r="A359" s="88"/>
      <c r="B359" s="69"/>
      <c r="C359" s="90"/>
      <c r="D359" s="69"/>
      <c r="E359" s="69"/>
      <c r="F359" s="69"/>
      <c r="G359" s="69"/>
      <c r="H359" s="70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</row>
    <row r="360" ht="15.75" customHeight="1" spans="1:25">
      <c r="A360" s="88"/>
      <c r="B360" s="69"/>
      <c r="C360" s="90"/>
      <c r="D360" s="69"/>
      <c r="E360" s="69"/>
      <c r="F360" s="69"/>
      <c r="G360" s="69"/>
      <c r="H360" s="70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</row>
    <row r="361" ht="15.75" customHeight="1" spans="1:25">
      <c r="A361" s="88"/>
      <c r="B361" s="69"/>
      <c r="C361" s="90"/>
      <c r="D361" s="69"/>
      <c r="E361" s="69"/>
      <c r="F361" s="69"/>
      <c r="G361" s="69"/>
      <c r="H361" s="70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</row>
    <row r="362" ht="15.75" customHeight="1" spans="1:25">
      <c r="A362" s="88"/>
      <c r="B362" s="69"/>
      <c r="C362" s="90"/>
      <c r="D362" s="69"/>
      <c r="E362" s="69"/>
      <c r="F362" s="69"/>
      <c r="G362" s="69"/>
      <c r="H362" s="70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</row>
    <row r="363" ht="15.75" customHeight="1" spans="1:25">
      <c r="A363" s="88"/>
      <c r="B363" s="69"/>
      <c r="C363" s="90"/>
      <c r="D363" s="69"/>
      <c r="E363" s="69"/>
      <c r="F363" s="69"/>
      <c r="G363" s="69"/>
      <c r="H363" s="70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</row>
    <row r="364" ht="15.75" customHeight="1" spans="1:25">
      <c r="A364" s="88"/>
      <c r="B364" s="69"/>
      <c r="C364" s="90"/>
      <c r="D364" s="69"/>
      <c r="E364" s="69"/>
      <c r="F364" s="69"/>
      <c r="G364" s="69"/>
      <c r="H364" s="70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</row>
    <row r="365" ht="15.75" customHeight="1" spans="1:25">
      <c r="A365" s="88"/>
      <c r="B365" s="69"/>
      <c r="C365" s="90"/>
      <c r="D365" s="69"/>
      <c r="E365" s="69"/>
      <c r="F365" s="69"/>
      <c r="G365" s="69"/>
      <c r="H365" s="70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</row>
    <row r="366" ht="15.75" customHeight="1" spans="1:25">
      <c r="A366" s="88"/>
      <c r="B366" s="69"/>
      <c r="C366" s="90"/>
      <c r="D366" s="69"/>
      <c r="E366" s="69"/>
      <c r="F366" s="69"/>
      <c r="G366" s="69"/>
      <c r="H366" s="70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</row>
    <row r="367" ht="15.75" customHeight="1" spans="1:25">
      <c r="A367" s="88"/>
      <c r="B367" s="69"/>
      <c r="C367" s="90"/>
      <c r="D367" s="69"/>
      <c r="E367" s="69"/>
      <c r="F367" s="69"/>
      <c r="G367" s="69"/>
      <c r="H367" s="70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</row>
    <row r="368" ht="15.75" customHeight="1" spans="1:25">
      <c r="A368" s="88"/>
      <c r="B368" s="69"/>
      <c r="C368" s="90"/>
      <c r="D368" s="69"/>
      <c r="E368" s="69"/>
      <c r="F368" s="69"/>
      <c r="G368" s="69"/>
      <c r="H368" s="70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</row>
    <row r="369" ht="15.75" customHeight="1" spans="1:25">
      <c r="A369" s="88"/>
      <c r="B369" s="69"/>
      <c r="C369" s="90"/>
      <c r="D369" s="69"/>
      <c r="E369" s="69"/>
      <c r="F369" s="69"/>
      <c r="G369" s="69"/>
      <c r="H369" s="70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</row>
    <row r="370" ht="15.75" customHeight="1" spans="1:25">
      <c r="A370" s="88"/>
      <c r="B370" s="69"/>
      <c r="C370" s="90"/>
      <c r="D370" s="69"/>
      <c r="E370" s="69"/>
      <c r="F370" s="69"/>
      <c r="G370" s="69"/>
      <c r="H370" s="70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</row>
    <row r="371" ht="15.75" customHeight="1" spans="1:25">
      <c r="A371" s="88"/>
      <c r="B371" s="69"/>
      <c r="C371" s="90"/>
      <c r="D371" s="69"/>
      <c r="E371" s="69"/>
      <c r="F371" s="69"/>
      <c r="G371" s="69"/>
      <c r="H371" s="70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</row>
    <row r="372" ht="15.75" customHeight="1" spans="1:25">
      <c r="A372" s="88"/>
      <c r="B372" s="69"/>
      <c r="C372" s="90"/>
      <c r="D372" s="69"/>
      <c r="E372" s="69"/>
      <c r="F372" s="69"/>
      <c r="G372" s="69"/>
      <c r="H372" s="70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</row>
    <row r="373" ht="15.75" customHeight="1" spans="1:25">
      <c r="A373" s="88"/>
      <c r="B373" s="69"/>
      <c r="C373" s="90"/>
      <c r="D373" s="69"/>
      <c r="E373" s="69"/>
      <c r="F373" s="69"/>
      <c r="G373" s="69"/>
      <c r="H373" s="70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</row>
    <row r="374" ht="15.75" customHeight="1" spans="1:25">
      <c r="A374" s="88"/>
      <c r="B374" s="69"/>
      <c r="C374" s="90"/>
      <c r="D374" s="69"/>
      <c r="E374" s="69"/>
      <c r="F374" s="69"/>
      <c r="G374" s="69"/>
      <c r="H374" s="70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</row>
    <row r="375" ht="15.75" customHeight="1" spans="1:25">
      <c r="A375" s="88"/>
      <c r="B375" s="69"/>
      <c r="C375" s="90"/>
      <c r="D375" s="69"/>
      <c r="E375" s="69"/>
      <c r="F375" s="69"/>
      <c r="G375" s="69"/>
      <c r="H375" s="70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</row>
    <row r="376" ht="15.75" customHeight="1" spans="1:25">
      <c r="A376" s="88"/>
      <c r="B376" s="69"/>
      <c r="C376" s="90"/>
      <c r="D376" s="69"/>
      <c r="E376" s="69"/>
      <c r="F376" s="69"/>
      <c r="G376" s="69"/>
      <c r="H376" s="70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</row>
    <row r="377" ht="15.75" customHeight="1" spans="1:25">
      <c r="A377" s="88"/>
      <c r="B377" s="69"/>
      <c r="C377" s="90"/>
      <c r="D377" s="69"/>
      <c r="E377" s="69"/>
      <c r="F377" s="69"/>
      <c r="G377" s="69"/>
      <c r="H377" s="70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</row>
    <row r="378" ht="15.75" customHeight="1" spans="1:25">
      <c r="A378" s="88"/>
      <c r="B378" s="69"/>
      <c r="C378" s="90"/>
      <c r="D378" s="69"/>
      <c r="E378" s="69"/>
      <c r="F378" s="69"/>
      <c r="G378" s="69"/>
      <c r="H378" s="70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</row>
    <row r="379" ht="15.75" customHeight="1" spans="1:25">
      <c r="A379" s="88"/>
      <c r="B379" s="69"/>
      <c r="C379" s="90"/>
      <c r="D379" s="69"/>
      <c r="E379" s="69"/>
      <c r="F379" s="69"/>
      <c r="G379" s="69"/>
      <c r="H379" s="70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</row>
    <row r="380" ht="15.75" customHeight="1" spans="1:25">
      <c r="A380" s="88"/>
      <c r="B380" s="69"/>
      <c r="C380" s="90"/>
      <c r="D380" s="69"/>
      <c r="E380" s="69"/>
      <c r="F380" s="69"/>
      <c r="G380" s="69"/>
      <c r="H380" s="70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</row>
    <row r="381" ht="15.75" customHeight="1" spans="1:25">
      <c r="A381" s="88"/>
      <c r="B381" s="69"/>
      <c r="C381" s="90"/>
      <c r="D381" s="69"/>
      <c r="E381" s="69"/>
      <c r="F381" s="69"/>
      <c r="G381" s="69"/>
      <c r="H381" s="70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</row>
    <row r="382" ht="15.75" customHeight="1" spans="1:25">
      <c r="A382" s="88"/>
      <c r="B382" s="69"/>
      <c r="C382" s="90"/>
      <c r="D382" s="69"/>
      <c r="E382" s="69"/>
      <c r="F382" s="69"/>
      <c r="G382" s="69"/>
      <c r="H382" s="70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</row>
    <row r="383" ht="15.75" customHeight="1" spans="1:25">
      <c r="A383" s="88"/>
      <c r="B383" s="69"/>
      <c r="C383" s="90"/>
      <c r="D383" s="69"/>
      <c r="E383" s="69"/>
      <c r="F383" s="69"/>
      <c r="G383" s="69"/>
      <c r="H383" s="70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</row>
    <row r="384" ht="15.75" customHeight="1" spans="1:25">
      <c r="A384" s="88"/>
      <c r="B384" s="69"/>
      <c r="C384" s="90"/>
      <c r="D384" s="69"/>
      <c r="E384" s="69"/>
      <c r="F384" s="69"/>
      <c r="G384" s="69"/>
      <c r="H384" s="70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</row>
    <row r="385" ht="15.75" customHeight="1" spans="1:25">
      <c r="A385" s="88"/>
      <c r="B385" s="69"/>
      <c r="C385" s="90"/>
      <c r="D385" s="69"/>
      <c r="E385" s="69"/>
      <c r="F385" s="69"/>
      <c r="G385" s="69"/>
      <c r="H385" s="70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</row>
    <row r="386" ht="15.75" customHeight="1" spans="1:25">
      <c r="A386" s="88"/>
      <c r="B386" s="69"/>
      <c r="C386" s="90"/>
      <c r="D386" s="69"/>
      <c r="E386" s="69"/>
      <c r="F386" s="69"/>
      <c r="G386" s="69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</row>
    <row r="387" ht="15.75" customHeight="1" spans="1:25">
      <c r="A387" s="88"/>
      <c r="B387" s="69"/>
      <c r="C387" s="90"/>
      <c r="D387" s="69"/>
      <c r="E387" s="69"/>
      <c r="F387" s="69"/>
      <c r="G387" s="69"/>
      <c r="H387" s="70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</row>
    <row r="388" ht="15.75" customHeight="1" spans="1:25">
      <c r="A388" s="88"/>
      <c r="B388" s="69"/>
      <c r="C388" s="90"/>
      <c r="D388" s="69"/>
      <c r="E388" s="69"/>
      <c r="F388" s="69"/>
      <c r="G388" s="69"/>
      <c r="H388" s="70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</row>
    <row r="389" ht="15.75" customHeight="1" spans="1:25">
      <c r="A389" s="88"/>
      <c r="B389" s="69"/>
      <c r="C389" s="90"/>
      <c r="D389" s="69"/>
      <c r="E389" s="69"/>
      <c r="F389" s="69"/>
      <c r="G389" s="69"/>
      <c r="H389" s="70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</row>
    <row r="390" ht="15.75" customHeight="1" spans="1:25">
      <c r="A390" s="88"/>
      <c r="B390" s="69"/>
      <c r="C390" s="90"/>
      <c r="D390" s="69"/>
      <c r="E390" s="69"/>
      <c r="F390" s="69"/>
      <c r="G390" s="69"/>
      <c r="H390" s="70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</row>
    <row r="391" ht="15.75" customHeight="1" spans="1:25">
      <c r="A391" s="88"/>
      <c r="B391" s="69"/>
      <c r="C391" s="90"/>
      <c r="D391" s="69"/>
      <c r="E391" s="69"/>
      <c r="F391" s="69"/>
      <c r="G391" s="69"/>
      <c r="H391" s="70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</row>
    <row r="392" ht="15.75" customHeight="1" spans="1:25">
      <c r="A392" s="88"/>
      <c r="B392" s="69"/>
      <c r="C392" s="90"/>
      <c r="D392" s="69"/>
      <c r="E392" s="69"/>
      <c r="F392" s="69"/>
      <c r="G392" s="69"/>
      <c r="H392" s="70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</row>
    <row r="393" ht="15.75" customHeight="1" spans="1:25">
      <c r="A393" s="88"/>
      <c r="B393" s="69"/>
      <c r="C393" s="90"/>
      <c r="D393" s="69"/>
      <c r="E393" s="69"/>
      <c r="F393" s="69"/>
      <c r="G393" s="69"/>
      <c r="H393" s="70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</row>
    <row r="394" ht="15.75" customHeight="1" spans="1:25">
      <c r="A394" s="88"/>
      <c r="B394" s="69"/>
      <c r="C394" s="90"/>
      <c r="D394" s="69"/>
      <c r="E394" s="69"/>
      <c r="F394" s="69"/>
      <c r="G394" s="69"/>
      <c r="H394" s="70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</row>
    <row r="395" ht="15.75" customHeight="1" spans="1:25">
      <c r="A395" s="88"/>
      <c r="B395" s="69"/>
      <c r="C395" s="90"/>
      <c r="D395" s="69"/>
      <c r="E395" s="69"/>
      <c r="F395" s="69"/>
      <c r="G395" s="69"/>
      <c r="H395" s="70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</row>
    <row r="396" ht="15.75" customHeight="1" spans="1:25">
      <c r="A396" s="88"/>
      <c r="B396" s="69"/>
      <c r="C396" s="90"/>
      <c r="D396" s="69"/>
      <c r="E396" s="69"/>
      <c r="F396" s="69"/>
      <c r="G396" s="69"/>
      <c r="H396" s="70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</row>
    <row r="397" ht="15.75" customHeight="1" spans="1:25">
      <c r="A397" s="88"/>
      <c r="B397" s="69"/>
      <c r="C397" s="90"/>
      <c r="D397" s="69"/>
      <c r="E397" s="69"/>
      <c r="F397" s="69"/>
      <c r="G397" s="69"/>
      <c r="H397" s="70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</row>
    <row r="398" ht="15.75" customHeight="1" spans="1:25">
      <c r="A398" s="88"/>
      <c r="B398" s="69"/>
      <c r="C398" s="90"/>
      <c r="D398" s="69"/>
      <c r="E398" s="69"/>
      <c r="F398" s="69"/>
      <c r="G398" s="69"/>
      <c r="H398" s="70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</row>
    <row r="399" ht="15.75" customHeight="1" spans="1:25">
      <c r="A399" s="88"/>
      <c r="B399" s="69"/>
      <c r="C399" s="90"/>
      <c r="D399" s="69"/>
      <c r="E399" s="69"/>
      <c r="F399" s="69"/>
      <c r="G399" s="69"/>
      <c r="H399" s="70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</row>
    <row r="400" ht="15.75" customHeight="1" spans="1:25">
      <c r="A400" s="88"/>
      <c r="B400" s="69"/>
      <c r="C400" s="90"/>
      <c r="D400" s="69"/>
      <c r="E400" s="69"/>
      <c r="F400" s="69"/>
      <c r="G400" s="69"/>
      <c r="H400" s="70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</row>
    <row r="401" ht="15.75" customHeight="1" spans="1:25">
      <c r="A401" s="88"/>
      <c r="B401" s="69"/>
      <c r="C401" s="90"/>
      <c r="D401" s="69"/>
      <c r="E401" s="69"/>
      <c r="F401" s="69"/>
      <c r="G401" s="69"/>
      <c r="H401" s="70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</row>
    <row r="402" ht="15.75" customHeight="1" spans="1:25">
      <c r="A402" s="88"/>
      <c r="B402" s="69"/>
      <c r="C402" s="90"/>
      <c r="D402" s="69"/>
      <c r="E402" s="69"/>
      <c r="F402" s="69"/>
      <c r="G402" s="69"/>
      <c r="H402" s="70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</row>
    <row r="403" ht="15.75" customHeight="1" spans="1:25">
      <c r="A403" s="88"/>
      <c r="B403" s="69"/>
      <c r="C403" s="90"/>
      <c r="D403" s="69"/>
      <c r="E403" s="69"/>
      <c r="F403" s="69"/>
      <c r="G403" s="69"/>
      <c r="H403" s="70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</row>
    <row r="404" ht="15.75" customHeight="1" spans="1:25">
      <c r="A404" s="88"/>
      <c r="B404" s="69"/>
      <c r="C404" s="90"/>
      <c r="D404" s="69"/>
      <c r="E404" s="69"/>
      <c r="F404" s="69"/>
      <c r="G404" s="69"/>
      <c r="H404" s="70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</row>
    <row r="405" ht="15.75" customHeight="1" spans="1:25">
      <c r="A405" s="88"/>
      <c r="B405" s="69"/>
      <c r="C405" s="90"/>
      <c r="D405" s="69"/>
      <c r="E405" s="69"/>
      <c r="F405" s="69"/>
      <c r="G405" s="69"/>
      <c r="H405" s="70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</row>
    <row r="406" ht="15.75" customHeight="1" spans="1:25">
      <c r="A406" s="88"/>
      <c r="B406" s="69"/>
      <c r="C406" s="90"/>
      <c r="D406" s="69"/>
      <c r="E406" s="69"/>
      <c r="F406" s="69"/>
      <c r="G406" s="69"/>
      <c r="H406" s="70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</row>
    <row r="407" ht="15.75" customHeight="1" spans="1:25">
      <c r="A407" s="88"/>
      <c r="B407" s="69"/>
      <c r="C407" s="90"/>
      <c r="D407" s="69"/>
      <c r="E407" s="69"/>
      <c r="F407" s="69"/>
      <c r="G407" s="69"/>
      <c r="H407" s="70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</row>
    <row r="408" ht="15.75" customHeight="1" spans="1:25">
      <c r="A408" s="88"/>
      <c r="B408" s="69"/>
      <c r="C408" s="90"/>
      <c r="D408" s="69"/>
      <c r="E408" s="69"/>
      <c r="F408" s="69"/>
      <c r="G408" s="69"/>
      <c r="H408" s="70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</row>
    <row r="409" ht="15.75" customHeight="1" spans="1:25">
      <c r="A409" s="88"/>
      <c r="B409" s="69"/>
      <c r="C409" s="90"/>
      <c r="D409" s="69"/>
      <c r="E409" s="69"/>
      <c r="F409" s="69"/>
      <c r="G409" s="69"/>
      <c r="H409" s="70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</row>
    <row r="410" ht="15.75" customHeight="1" spans="1:25">
      <c r="A410" s="88"/>
      <c r="B410" s="69"/>
      <c r="C410" s="90"/>
      <c r="D410" s="69"/>
      <c r="E410" s="69"/>
      <c r="F410" s="69"/>
      <c r="G410" s="69"/>
      <c r="H410" s="70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</row>
    <row r="411" ht="15.75" customHeight="1" spans="1:25">
      <c r="A411" s="88"/>
      <c r="B411" s="69"/>
      <c r="C411" s="90"/>
      <c r="D411" s="69"/>
      <c r="E411" s="69"/>
      <c r="F411" s="69"/>
      <c r="G411" s="69"/>
      <c r="H411" s="70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</row>
    <row r="412" ht="15.75" customHeight="1" spans="1:25">
      <c r="A412" s="88"/>
      <c r="B412" s="69"/>
      <c r="C412" s="90"/>
      <c r="D412" s="69"/>
      <c r="E412" s="69"/>
      <c r="F412" s="69"/>
      <c r="G412" s="69"/>
      <c r="H412" s="70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</row>
    <row r="413" ht="15.75" customHeight="1" spans="1:25">
      <c r="A413" s="88"/>
      <c r="B413" s="69"/>
      <c r="C413" s="90"/>
      <c r="D413" s="69"/>
      <c r="E413" s="69"/>
      <c r="F413" s="69"/>
      <c r="G413" s="69"/>
      <c r="H413" s="70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</row>
    <row r="414" ht="15.75" customHeight="1" spans="1:25">
      <c r="A414" s="88"/>
      <c r="B414" s="69"/>
      <c r="C414" s="90"/>
      <c r="D414" s="69"/>
      <c r="E414" s="69"/>
      <c r="F414" s="69"/>
      <c r="G414" s="69"/>
      <c r="H414" s="70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</row>
    <row r="415" ht="15.75" customHeight="1" spans="1:25">
      <c r="A415" s="88"/>
      <c r="B415" s="69"/>
      <c r="C415" s="90"/>
      <c r="D415" s="69"/>
      <c r="E415" s="69"/>
      <c r="F415" s="69"/>
      <c r="G415" s="69"/>
      <c r="H415" s="70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</row>
    <row r="416" ht="15.75" customHeight="1" spans="1:25">
      <c r="A416" s="88"/>
      <c r="B416" s="69"/>
      <c r="C416" s="90"/>
      <c r="D416" s="69"/>
      <c r="E416" s="69"/>
      <c r="F416" s="69"/>
      <c r="G416" s="69"/>
      <c r="H416" s="70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</row>
    <row r="417" ht="15.75" customHeight="1" spans="1:25">
      <c r="A417" s="88"/>
      <c r="B417" s="69"/>
      <c r="C417" s="90"/>
      <c r="D417" s="69"/>
      <c r="E417" s="69"/>
      <c r="F417" s="69"/>
      <c r="G417" s="69"/>
      <c r="H417" s="70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</row>
    <row r="418" ht="15.75" customHeight="1" spans="1:25">
      <c r="A418" s="88"/>
      <c r="B418" s="69"/>
      <c r="C418" s="90"/>
      <c r="D418" s="69"/>
      <c r="E418" s="69"/>
      <c r="F418" s="69"/>
      <c r="G418" s="69"/>
      <c r="H418" s="70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</row>
    <row r="419" ht="15.75" customHeight="1" spans="1:25">
      <c r="A419" s="88"/>
      <c r="B419" s="69"/>
      <c r="C419" s="90"/>
      <c r="D419" s="69"/>
      <c r="E419" s="69"/>
      <c r="F419" s="69"/>
      <c r="G419" s="69"/>
      <c r="H419" s="70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</row>
    <row r="420" ht="15.75" customHeight="1" spans="1:25">
      <c r="A420" s="88"/>
      <c r="B420" s="69"/>
      <c r="C420" s="90"/>
      <c r="D420" s="69"/>
      <c r="E420" s="69"/>
      <c r="F420" s="69"/>
      <c r="G420" s="69"/>
      <c r="H420" s="70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</row>
    <row r="421" ht="15.75" customHeight="1" spans="1:25">
      <c r="A421" s="88"/>
      <c r="B421" s="69"/>
      <c r="C421" s="90"/>
      <c r="D421" s="69"/>
      <c r="E421" s="69"/>
      <c r="F421" s="69"/>
      <c r="G421" s="69"/>
      <c r="H421" s="70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</row>
    <row r="422" ht="15.75" customHeight="1" spans="1:25">
      <c r="A422" s="88"/>
      <c r="B422" s="69"/>
      <c r="C422" s="90"/>
      <c r="D422" s="69"/>
      <c r="E422" s="69"/>
      <c r="F422" s="69"/>
      <c r="G422" s="69"/>
      <c r="H422" s="70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</row>
    <row r="423" ht="15.75" customHeight="1" spans="1:25">
      <c r="A423" s="88"/>
      <c r="B423" s="69"/>
      <c r="C423" s="90"/>
      <c r="D423" s="69"/>
      <c r="E423" s="69"/>
      <c r="F423" s="69"/>
      <c r="G423" s="69"/>
      <c r="H423" s="70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</row>
    <row r="424" ht="15.75" customHeight="1" spans="1:25">
      <c r="A424" s="88"/>
      <c r="B424" s="69"/>
      <c r="C424" s="90"/>
      <c r="D424" s="69"/>
      <c r="E424" s="69"/>
      <c r="F424" s="69"/>
      <c r="G424" s="69"/>
      <c r="H424" s="70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</row>
    <row r="425" ht="15.75" customHeight="1" spans="1:25">
      <c r="A425" s="88"/>
      <c r="B425" s="69"/>
      <c r="C425" s="90"/>
      <c r="D425" s="69"/>
      <c r="E425" s="69"/>
      <c r="F425" s="69"/>
      <c r="G425" s="69"/>
      <c r="H425" s="70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</row>
    <row r="426" ht="15.75" customHeight="1" spans="1:25">
      <c r="A426" s="88"/>
      <c r="B426" s="69"/>
      <c r="C426" s="90"/>
      <c r="D426" s="69"/>
      <c r="E426" s="69"/>
      <c r="F426" s="69"/>
      <c r="G426" s="69"/>
      <c r="H426" s="70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</row>
    <row r="427" ht="15.75" customHeight="1" spans="1:25">
      <c r="A427" s="88"/>
      <c r="B427" s="69"/>
      <c r="C427" s="90"/>
      <c r="D427" s="69"/>
      <c r="E427" s="69"/>
      <c r="F427" s="69"/>
      <c r="G427" s="69"/>
      <c r="H427" s="70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</row>
    <row r="428" ht="15.75" customHeight="1" spans="1:25">
      <c r="A428" s="88"/>
      <c r="B428" s="69"/>
      <c r="C428" s="90"/>
      <c r="D428" s="69"/>
      <c r="E428" s="69"/>
      <c r="F428" s="69"/>
      <c r="G428" s="69"/>
      <c r="H428" s="70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</row>
    <row r="429" ht="15.75" customHeight="1" spans="1:25">
      <c r="A429" s="88"/>
      <c r="B429" s="69"/>
      <c r="C429" s="90"/>
      <c r="D429" s="69"/>
      <c r="E429" s="69"/>
      <c r="F429" s="69"/>
      <c r="G429" s="69"/>
      <c r="H429" s="70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</row>
    <row r="430" ht="15.75" customHeight="1" spans="1:25">
      <c r="A430" s="88"/>
      <c r="B430" s="69"/>
      <c r="C430" s="90"/>
      <c r="D430" s="69"/>
      <c r="E430" s="69"/>
      <c r="F430" s="69"/>
      <c r="G430" s="69"/>
      <c r="H430" s="70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</row>
    <row r="431" ht="15.75" customHeight="1" spans="1:25">
      <c r="A431" s="88"/>
      <c r="B431" s="69"/>
      <c r="C431" s="90"/>
      <c r="D431" s="69"/>
      <c r="E431" s="69"/>
      <c r="F431" s="69"/>
      <c r="G431" s="69"/>
      <c r="H431" s="70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</row>
    <row r="432" ht="15.75" customHeight="1" spans="1:25">
      <c r="A432" s="88"/>
      <c r="B432" s="69"/>
      <c r="C432" s="90"/>
      <c r="D432" s="69"/>
      <c r="E432" s="69"/>
      <c r="F432" s="69"/>
      <c r="G432" s="69"/>
      <c r="H432" s="70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</row>
    <row r="433" ht="15.75" customHeight="1" spans="1:25">
      <c r="A433" s="88"/>
      <c r="B433" s="69"/>
      <c r="C433" s="90"/>
      <c r="D433" s="69"/>
      <c r="E433" s="69"/>
      <c r="F433" s="69"/>
      <c r="G433" s="69"/>
      <c r="H433" s="70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</row>
    <row r="434" ht="15.75" customHeight="1" spans="1:25">
      <c r="A434" s="88"/>
      <c r="B434" s="69"/>
      <c r="C434" s="90"/>
      <c r="D434" s="69"/>
      <c r="E434" s="69"/>
      <c r="F434" s="69"/>
      <c r="G434" s="69"/>
      <c r="H434" s="70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</row>
    <row r="435" ht="15.75" customHeight="1" spans="1:25">
      <c r="A435" s="88"/>
      <c r="B435" s="69"/>
      <c r="C435" s="90"/>
      <c r="D435" s="69"/>
      <c r="E435" s="69"/>
      <c r="F435" s="69"/>
      <c r="G435" s="69"/>
      <c r="H435" s="70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</row>
    <row r="436" ht="15.75" customHeight="1" spans="1:25">
      <c r="A436" s="88"/>
      <c r="B436" s="69"/>
      <c r="C436" s="90"/>
      <c r="D436" s="69"/>
      <c r="E436" s="69"/>
      <c r="F436" s="69"/>
      <c r="G436" s="69"/>
      <c r="H436" s="70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</row>
    <row r="437" ht="15.75" customHeight="1" spans="1:25">
      <c r="A437" s="88"/>
      <c r="B437" s="69"/>
      <c r="C437" s="90"/>
      <c r="D437" s="69"/>
      <c r="E437" s="69"/>
      <c r="F437" s="69"/>
      <c r="G437" s="69"/>
      <c r="H437" s="70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</row>
    <row r="438" ht="15.75" customHeight="1" spans="1:25">
      <c r="A438" s="88"/>
      <c r="B438" s="69"/>
      <c r="C438" s="90"/>
      <c r="D438" s="69"/>
      <c r="E438" s="69"/>
      <c r="F438" s="69"/>
      <c r="G438" s="69"/>
      <c r="H438" s="70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</row>
    <row r="439" ht="15.75" customHeight="1" spans="1:25">
      <c r="A439" s="88"/>
      <c r="B439" s="69"/>
      <c r="C439" s="90"/>
      <c r="D439" s="69"/>
      <c r="E439" s="69"/>
      <c r="F439" s="69"/>
      <c r="G439" s="69"/>
      <c r="H439" s="70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</row>
    <row r="440" ht="15.75" customHeight="1" spans="1:25">
      <c r="A440" s="88"/>
      <c r="B440" s="69"/>
      <c r="C440" s="90"/>
      <c r="D440" s="69"/>
      <c r="E440" s="69"/>
      <c r="F440" s="69"/>
      <c r="G440" s="69"/>
      <c r="H440" s="70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</row>
    <row r="441" ht="15.75" customHeight="1" spans="1:25">
      <c r="A441" s="88"/>
      <c r="B441" s="69"/>
      <c r="C441" s="90"/>
      <c r="D441" s="69"/>
      <c r="E441" s="69"/>
      <c r="F441" s="69"/>
      <c r="G441" s="69"/>
      <c r="H441" s="70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</row>
    <row r="442" ht="15.75" customHeight="1" spans="1:25">
      <c r="A442" s="88"/>
      <c r="B442" s="69"/>
      <c r="C442" s="90"/>
      <c r="D442" s="69"/>
      <c r="E442" s="69"/>
      <c r="F442" s="69"/>
      <c r="G442" s="69"/>
      <c r="H442" s="70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</row>
    <row r="443" ht="15.75" customHeight="1" spans="1:25">
      <c r="A443" s="88"/>
      <c r="B443" s="69"/>
      <c r="C443" s="90"/>
      <c r="D443" s="69"/>
      <c r="E443" s="69"/>
      <c r="F443" s="69"/>
      <c r="G443" s="69"/>
      <c r="H443" s="70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</row>
    <row r="444" ht="15.75" customHeight="1" spans="1:25">
      <c r="A444" s="88"/>
      <c r="B444" s="69"/>
      <c r="C444" s="90"/>
      <c r="D444" s="69"/>
      <c r="E444" s="69"/>
      <c r="F444" s="69"/>
      <c r="G444" s="69"/>
      <c r="H444" s="70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</row>
    <row r="445" ht="15.75" customHeight="1" spans="1:25">
      <c r="A445" s="88"/>
      <c r="B445" s="69"/>
      <c r="C445" s="90"/>
      <c r="D445" s="69"/>
      <c r="E445" s="69"/>
      <c r="F445" s="69"/>
      <c r="G445" s="69"/>
      <c r="H445" s="70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</row>
    <row r="446" ht="15.75" customHeight="1" spans="1:25">
      <c r="A446" s="88"/>
      <c r="B446" s="69"/>
      <c r="C446" s="90"/>
      <c r="D446" s="69"/>
      <c r="E446" s="69"/>
      <c r="F446" s="69"/>
      <c r="G446" s="69"/>
      <c r="H446" s="70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</row>
    <row r="447" ht="15.75" customHeight="1" spans="1:25">
      <c r="A447" s="88"/>
      <c r="B447" s="69"/>
      <c r="C447" s="90"/>
      <c r="D447" s="69"/>
      <c r="E447" s="69"/>
      <c r="F447" s="69"/>
      <c r="G447" s="69"/>
      <c r="H447" s="70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</row>
    <row r="448" ht="15.75" customHeight="1" spans="1:25">
      <c r="A448" s="88"/>
      <c r="B448" s="69"/>
      <c r="C448" s="90"/>
      <c r="D448" s="69"/>
      <c r="E448" s="69"/>
      <c r="F448" s="69"/>
      <c r="G448" s="69"/>
      <c r="H448" s="70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</row>
    <row r="449" ht="15.75" customHeight="1" spans="1:25">
      <c r="A449" s="88"/>
      <c r="B449" s="69"/>
      <c r="C449" s="90"/>
      <c r="D449" s="69"/>
      <c r="E449" s="69"/>
      <c r="F449" s="69"/>
      <c r="G449" s="69"/>
      <c r="H449" s="70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</row>
    <row r="450" ht="15.75" customHeight="1" spans="1:25">
      <c r="A450" s="88"/>
      <c r="B450" s="69"/>
      <c r="C450" s="90"/>
      <c r="D450" s="69"/>
      <c r="E450" s="69"/>
      <c r="F450" s="69"/>
      <c r="G450" s="69"/>
      <c r="H450" s="70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</row>
    <row r="451" ht="15.75" customHeight="1" spans="1:25">
      <c r="A451" s="88"/>
      <c r="B451" s="69"/>
      <c r="C451" s="90"/>
      <c r="D451" s="69"/>
      <c r="E451" s="69"/>
      <c r="F451" s="69"/>
      <c r="G451" s="69"/>
      <c r="H451" s="70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</row>
    <row r="452" ht="15.75" customHeight="1" spans="1:25">
      <c r="A452" s="88"/>
      <c r="B452" s="69"/>
      <c r="C452" s="90"/>
      <c r="D452" s="69"/>
      <c r="E452" s="69"/>
      <c r="F452" s="69"/>
      <c r="G452" s="69"/>
      <c r="H452" s="70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</row>
    <row r="453" ht="15.75" customHeight="1" spans="1:25">
      <c r="A453" s="88"/>
      <c r="B453" s="69"/>
      <c r="C453" s="90"/>
      <c r="D453" s="69"/>
      <c r="E453" s="69"/>
      <c r="F453" s="69"/>
      <c r="G453" s="69"/>
      <c r="H453" s="70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</row>
    <row r="454" ht="15.75" customHeight="1" spans="1:25">
      <c r="A454" s="88"/>
      <c r="B454" s="69"/>
      <c r="C454" s="90"/>
      <c r="D454" s="69"/>
      <c r="E454" s="69"/>
      <c r="F454" s="69"/>
      <c r="G454" s="69"/>
      <c r="H454" s="70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</row>
    <row r="455" ht="15.75" customHeight="1" spans="1:25">
      <c r="A455" s="88"/>
      <c r="B455" s="69"/>
      <c r="C455" s="90"/>
      <c r="D455" s="69"/>
      <c r="E455" s="69"/>
      <c r="F455" s="69"/>
      <c r="G455" s="69"/>
      <c r="H455" s="70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</row>
    <row r="456" ht="15.75" customHeight="1" spans="1:25">
      <c r="A456" s="88"/>
      <c r="B456" s="69"/>
      <c r="C456" s="90"/>
      <c r="D456" s="69"/>
      <c r="E456" s="69"/>
      <c r="F456" s="69"/>
      <c r="G456" s="69"/>
      <c r="H456" s="70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</row>
    <row r="457" ht="15.75" customHeight="1" spans="1:25">
      <c r="A457" s="88"/>
      <c r="B457" s="69"/>
      <c r="C457" s="90"/>
      <c r="D457" s="69"/>
      <c r="E457" s="69"/>
      <c r="F457" s="69"/>
      <c r="G457" s="69"/>
      <c r="H457" s="70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</row>
    <row r="458" ht="15.75" customHeight="1" spans="1:25">
      <c r="A458" s="88"/>
      <c r="B458" s="69"/>
      <c r="C458" s="90"/>
      <c r="D458" s="69"/>
      <c r="E458" s="69"/>
      <c r="F458" s="69"/>
      <c r="G458" s="69"/>
      <c r="H458" s="70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</row>
    <row r="459" ht="15.75" customHeight="1" spans="1:25">
      <c r="A459" s="88"/>
      <c r="B459" s="69"/>
      <c r="C459" s="90"/>
      <c r="D459" s="69"/>
      <c r="E459" s="69"/>
      <c r="F459" s="69"/>
      <c r="G459" s="69"/>
      <c r="H459" s="70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</row>
    <row r="460" ht="15.75" customHeight="1" spans="1:25">
      <c r="A460" s="88"/>
      <c r="B460" s="69"/>
      <c r="C460" s="90"/>
      <c r="D460" s="69"/>
      <c r="E460" s="69"/>
      <c r="F460" s="69"/>
      <c r="G460" s="69"/>
      <c r="H460" s="70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</row>
    <row r="461" ht="15.75" customHeight="1" spans="1:25">
      <c r="A461" s="88"/>
      <c r="B461" s="69"/>
      <c r="C461" s="90"/>
      <c r="D461" s="69"/>
      <c r="E461" s="69"/>
      <c r="F461" s="69"/>
      <c r="G461" s="69"/>
      <c r="H461" s="70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</row>
    <row r="462" ht="15.75" customHeight="1" spans="1:25">
      <c r="A462" s="88"/>
      <c r="B462" s="69"/>
      <c r="C462" s="90"/>
      <c r="D462" s="69"/>
      <c r="E462" s="69"/>
      <c r="F462" s="69"/>
      <c r="G462" s="69"/>
      <c r="H462" s="70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</row>
    <row r="463" ht="15.75" customHeight="1" spans="1:25">
      <c r="A463" s="88"/>
      <c r="B463" s="69"/>
      <c r="C463" s="90"/>
      <c r="D463" s="69"/>
      <c r="E463" s="69"/>
      <c r="F463" s="69"/>
      <c r="G463" s="69"/>
      <c r="H463" s="70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</row>
    <row r="464" ht="15.75" customHeight="1" spans="1:25">
      <c r="A464" s="88"/>
      <c r="B464" s="69"/>
      <c r="C464" s="90"/>
      <c r="D464" s="69"/>
      <c r="E464" s="69"/>
      <c r="F464" s="69"/>
      <c r="G464" s="69"/>
      <c r="H464" s="70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</row>
    <row r="465" ht="15.75" customHeight="1" spans="1:25">
      <c r="A465" s="88"/>
      <c r="B465" s="69"/>
      <c r="C465" s="90"/>
      <c r="D465" s="69"/>
      <c r="E465" s="69"/>
      <c r="F465" s="69"/>
      <c r="G465" s="69"/>
      <c r="H465" s="70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</row>
    <row r="466" ht="15.75" customHeight="1" spans="1:25">
      <c r="A466" s="88"/>
      <c r="B466" s="69"/>
      <c r="C466" s="90"/>
      <c r="D466" s="69"/>
      <c r="E466" s="69"/>
      <c r="F466" s="69"/>
      <c r="G466" s="69"/>
      <c r="H466" s="70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</row>
    <row r="467" ht="15.75" customHeight="1" spans="1:25">
      <c r="A467" s="88"/>
      <c r="B467" s="69"/>
      <c r="C467" s="90"/>
      <c r="D467" s="69"/>
      <c r="E467" s="69"/>
      <c r="F467" s="69"/>
      <c r="G467" s="69"/>
      <c r="H467" s="70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</row>
    <row r="468" ht="15.75" customHeight="1" spans="1:25">
      <c r="A468" s="88"/>
      <c r="B468" s="69"/>
      <c r="C468" s="90"/>
      <c r="D468" s="69"/>
      <c r="E468" s="69"/>
      <c r="F468" s="69"/>
      <c r="G468" s="69"/>
      <c r="H468" s="70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</row>
    <row r="469" ht="15.75" customHeight="1" spans="1:25">
      <c r="A469" s="88"/>
      <c r="B469" s="69"/>
      <c r="C469" s="90"/>
      <c r="D469" s="69"/>
      <c r="E469" s="69"/>
      <c r="F469" s="69"/>
      <c r="G469" s="69"/>
      <c r="H469" s="70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</row>
    <row r="470" ht="15.75" customHeight="1" spans="1:25">
      <c r="A470" s="88"/>
      <c r="B470" s="69"/>
      <c r="C470" s="90"/>
      <c r="D470" s="69"/>
      <c r="E470" s="69"/>
      <c r="F470" s="69"/>
      <c r="G470" s="69"/>
      <c r="H470" s="70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</row>
    <row r="471" ht="15.75" customHeight="1" spans="1:25">
      <c r="A471" s="88"/>
      <c r="B471" s="69"/>
      <c r="C471" s="90"/>
      <c r="D471" s="69"/>
      <c r="E471" s="69"/>
      <c r="F471" s="69"/>
      <c r="G471" s="69"/>
      <c r="H471" s="70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</row>
    <row r="472" ht="15.75" customHeight="1" spans="1:25">
      <c r="A472" s="88"/>
      <c r="B472" s="69"/>
      <c r="C472" s="90"/>
      <c r="D472" s="69"/>
      <c r="E472" s="69"/>
      <c r="F472" s="69"/>
      <c r="G472" s="69"/>
      <c r="H472" s="70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</row>
    <row r="473" ht="15.75" customHeight="1" spans="1:25">
      <c r="A473" s="88"/>
      <c r="B473" s="69"/>
      <c r="C473" s="90"/>
      <c r="D473" s="69"/>
      <c r="E473" s="69"/>
      <c r="F473" s="69"/>
      <c r="G473" s="69"/>
      <c r="H473" s="70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</row>
    <row r="474" ht="15.75" customHeight="1" spans="1:25">
      <c r="A474" s="88"/>
      <c r="B474" s="69"/>
      <c r="C474" s="90"/>
      <c r="D474" s="69"/>
      <c r="E474" s="69"/>
      <c r="F474" s="69"/>
      <c r="G474" s="69"/>
      <c r="H474" s="70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</row>
    <row r="475" ht="15.75" customHeight="1" spans="1:25">
      <c r="A475" s="88"/>
      <c r="B475" s="69"/>
      <c r="C475" s="90"/>
      <c r="D475" s="69"/>
      <c r="E475" s="69"/>
      <c r="F475" s="69"/>
      <c r="G475" s="69"/>
      <c r="H475" s="70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</row>
    <row r="476" ht="15.75" customHeight="1" spans="1:25">
      <c r="A476" s="88"/>
      <c r="B476" s="69"/>
      <c r="C476" s="90"/>
      <c r="D476" s="69"/>
      <c r="E476" s="69"/>
      <c r="F476" s="69"/>
      <c r="G476" s="69"/>
      <c r="H476" s="70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</row>
    <row r="477" ht="15.75" customHeight="1" spans="1:25">
      <c r="A477" s="88"/>
      <c r="B477" s="69"/>
      <c r="C477" s="90"/>
      <c r="D477" s="69"/>
      <c r="E477" s="69"/>
      <c r="F477" s="69"/>
      <c r="G477" s="69"/>
      <c r="H477" s="70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</row>
    <row r="478" ht="15.75" customHeight="1" spans="1:25">
      <c r="A478" s="88"/>
      <c r="B478" s="69"/>
      <c r="C478" s="90"/>
      <c r="D478" s="69"/>
      <c r="E478" s="69"/>
      <c r="F478" s="69"/>
      <c r="G478" s="69"/>
      <c r="H478" s="70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</row>
    <row r="479" ht="15.75" customHeight="1" spans="1:25">
      <c r="A479" s="88"/>
      <c r="B479" s="69"/>
      <c r="C479" s="90"/>
      <c r="D479" s="69"/>
      <c r="E479" s="69"/>
      <c r="F479" s="69"/>
      <c r="G479" s="69"/>
      <c r="H479" s="70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</row>
    <row r="480" ht="15.75" customHeight="1" spans="1:25">
      <c r="A480" s="88"/>
      <c r="B480" s="69"/>
      <c r="C480" s="90"/>
      <c r="D480" s="69"/>
      <c r="E480" s="69"/>
      <c r="F480" s="69"/>
      <c r="G480" s="69"/>
      <c r="H480" s="70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</row>
    <row r="481" ht="15.75" customHeight="1" spans="1:25">
      <c r="A481" s="88"/>
      <c r="B481" s="69"/>
      <c r="C481" s="90"/>
      <c r="D481" s="69"/>
      <c r="E481" s="69"/>
      <c r="F481" s="69"/>
      <c r="G481" s="69"/>
      <c r="H481" s="70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</row>
    <row r="482" ht="15.75" customHeight="1" spans="1:25">
      <c r="A482" s="88"/>
      <c r="B482" s="69"/>
      <c r="C482" s="90"/>
      <c r="D482" s="69"/>
      <c r="E482" s="69"/>
      <c r="F482" s="69"/>
      <c r="G482" s="69"/>
      <c r="H482" s="70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</row>
    <row r="483" ht="15.75" customHeight="1" spans="1:25">
      <c r="A483" s="88"/>
      <c r="B483" s="69"/>
      <c r="C483" s="90"/>
      <c r="D483" s="69"/>
      <c r="E483" s="69"/>
      <c r="F483" s="69"/>
      <c r="G483" s="69"/>
      <c r="H483" s="70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</row>
    <row r="484" ht="15.75" customHeight="1" spans="1:25">
      <c r="A484" s="88"/>
      <c r="B484" s="69"/>
      <c r="C484" s="90"/>
      <c r="D484" s="69"/>
      <c r="E484" s="69"/>
      <c r="F484" s="69"/>
      <c r="G484" s="69"/>
      <c r="H484" s="70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</row>
    <row r="485" ht="15.75" customHeight="1" spans="1:25">
      <c r="A485" s="88"/>
      <c r="B485" s="69"/>
      <c r="C485" s="90"/>
      <c r="D485" s="69"/>
      <c r="E485" s="69"/>
      <c r="F485" s="69"/>
      <c r="G485" s="69"/>
      <c r="H485" s="70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</row>
    <row r="486" ht="15.75" customHeight="1" spans="1:25">
      <c r="A486" s="88"/>
      <c r="B486" s="69"/>
      <c r="C486" s="90"/>
      <c r="D486" s="69"/>
      <c r="E486" s="69"/>
      <c r="F486" s="69"/>
      <c r="G486" s="69"/>
      <c r="H486" s="70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</row>
    <row r="487" ht="15.75" customHeight="1" spans="1:25">
      <c r="A487" s="88"/>
      <c r="B487" s="69"/>
      <c r="C487" s="90"/>
      <c r="D487" s="69"/>
      <c r="E487" s="69"/>
      <c r="F487" s="69"/>
      <c r="G487" s="69"/>
      <c r="H487" s="70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</row>
    <row r="488" ht="15.75" customHeight="1" spans="1:25">
      <c r="A488" s="88"/>
      <c r="B488" s="69"/>
      <c r="C488" s="90"/>
      <c r="D488" s="69"/>
      <c r="E488" s="69"/>
      <c r="F488" s="69"/>
      <c r="G488" s="69"/>
      <c r="H488" s="70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</row>
    <row r="489" ht="15.75" customHeight="1" spans="1:25">
      <c r="A489" s="88"/>
      <c r="B489" s="69"/>
      <c r="C489" s="90"/>
      <c r="D489" s="69"/>
      <c r="E489" s="69"/>
      <c r="F489" s="69"/>
      <c r="G489" s="69"/>
      <c r="H489" s="70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</row>
    <row r="490" ht="15.75" customHeight="1" spans="1:25">
      <c r="A490" s="88"/>
      <c r="B490" s="69"/>
      <c r="C490" s="90"/>
      <c r="D490" s="69"/>
      <c r="E490" s="69"/>
      <c r="F490" s="69"/>
      <c r="G490" s="69"/>
      <c r="H490" s="70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</row>
    <row r="491" ht="15.75" customHeight="1" spans="1:25">
      <c r="A491" s="88"/>
      <c r="B491" s="69"/>
      <c r="C491" s="90"/>
      <c r="D491" s="69"/>
      <c r="E491" s="69"/>
      <c r="F491" s="69"/>
      <c r="G491" s="69"/>
      <c r="H491" s="70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</row>
    <row r="492" ht="15.75" customHeight="1" spans="1:25">
      <c r="A492" s="88"/>
      <c r="B492" s="69"/>
      <c r="C492" s="90"/>
      <c r="D492" s="69"/>
      <c r="E492" s="69"/>
      <c r="F492" s="69"/>
      <c r="G492" s="69"/>
      <c r="H492" s="70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</row>
    <row r="493" ht="15.75" customHeight="1" spans="1:25">
      <c r="A493" s="88"/>
      <c r="B493" s="69"/>
      <c r="C493" s="90"/>
      <c r="D493" s="69"/>
      <c r="E493" s="69"/>
      <c r="F493" s="69"/>
      <c r="G493" s="69"/>
      <c r="H493" s="70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</row>
    <row r="494" ht="15.75" customHeight="1" spans="1:25">
      <c r="A494" s="88"/>
      <c r="B494" s="69"/>
      <c r="C494" s="90"/>
      <c r="D494" s="69"/>
      <c r="E494" s="69"/>
      <c r="F494" s="69"/>
      <c r="G494" s="69"/>
      <c r="H494" s="70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</row>
    <row r="495" ht="15.75" customHeight="1" spans="1:25">
      <c r="A495" s="88"/>
      <c r="B495" s="69"/>
      <c r="C495" s="90"/>
      <c r="D495" s="69"/>
      <c r="E495" s="69"/>
      <c r="F495" s="69"/>
      <c r="G495" s="69"/>
      <c r="H495" s="70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</row>
    <row r="496" ht="15.75" customHeight="1" spans="1:25">
      <c r="A496" s="88"/>
      <c r="B496" s="69"/>
      <c r="C496" s="90"/>
      <c r="D496" s="69"/>
      <c r="E496" s="69"/>
      <c r="F496" s="69"/>
      <c r="G496" s="69"/>
      <c r="H496" s="70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</row>
    <row r="497" ht="15.75" customHeight="1" spans="1:25">
      <c r="A497" s="88"/>
      <c r="B497" s="69"/>
      <c r="C497" s="90"/>
      <c r="D497" s="69"/>
      <c r="E497" s="69"/>
      <c r="F497" s="69"/>
      <c r="G497" s="69"/>
      <c r="H497" s="70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</row>
    <row r="498" ht="15.75" customHeight="1" spans="1:25">
      <c r="A498" s="88"/>
      <c r="B498" s="69"/>
      <c r="C498" s="90"/>
      <c r="D498" s="69"/>
      <c r="E498" s="69"/>
      <c r="F498" s="69"/>
      <c r="G498" s="69"/>
      <c r="H498" s="70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</row>
    <row r="499" ht="15.75" customHeight="1" spans="1:25">
      <c r="A499" s="88"/>
      <c r="B499" s="69"/>
      <c r="C499" s="90"/>
      <c r="D499" s="69"/>
      <c r="E499" s="69"/>
      <c r="F499" s="69"/>
      <c r="G499" s="69"/>
      <c r="H499" s="70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</row>
    <row r="500" ht="15.75" customHeight="1" spans="1:25">
      <c r="A500" s="88"/>
      <c r="B500" s="69"/>
      <c r="C500" s="90"/>
      <c r="D500" s="69"/>
      <c r="E500" s="69"/>
      <c r="F500" s="69"/>
      <c r="G500" s="69"/>
      <c r="H500" s="70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</row>
    <row r="501" ht="15.75" customHeight="1" spans="1:25">
      <c r="A501" s="88"/>
      <c r="B501" s="69"/>
      <c r="C501" s="90"/>
      <c r="D501" s="69"/>
      <c r="E501" s="69"/>
      <c r="F501" s="69"/>
      <c r="G501" s="69"/>
      <c r="H501" s="70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</row>
    <row r="502" ht="15.75" customHeight="1" spans="1:25">
      <c r="A502" s="88"/>
      <c r="B502" s="69"/>
      <c r="C502" s="90"/>
      <c r="D502" s="69"/>
      <c r="E502" s="69"/>
      <c r="F502" s="69"/>
      <c r="G502" s="69"/>
      <c r="H502" s="70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</row>
    <row r="503" ht="15.75" customHeight="1" spans="1:25">
      <c r="A503" s="88"/>
      <c r="B503" s="69"/>
      <c r="C503" s="90"/>
      <c r="D503" s="69"/>
      <c r="E503" s="69"/>
      <c r="F503" s="69"/>
      <c r="G503" s="69"/>
      <c r="H503" s="70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</row>
    <row r="504" ht="15.75" customHeight="1" spans="1:25">
      <c r="A504" s="88"/>
      <c r="B504" s="69"/>
      <c r="C504" s="90"/>
      <c r="D504" s="69"/>
      <c r="E504" s="69"/>
      <c r="F504" s="69"/>
      <c r="G504" s="69"/>
      <c r="H504" s="70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</row>
    <row r="505" ht="15.75" customHeight="1" spans="1:25">
      <c r="A505" s="88"/>
      <c r="B505" s="69"/>
      <c r="C505" s="90"/>
      <c r="D505" s="69"/>
      <c r="E505" s="69"/>
      <c r="F505" s="69"/>
      <c r="G505" s="69"/>
      <c r="H505" s="70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</row>
    <row r="506" ht="15.75" customHeight="1" spans="1:25">
      <c r="A506" s="88"/>
      <c r="B506" s="69"/>
      <c r="C506" s="90"/>
      <c r="D506" s="69"/>
      <c r="E506" s="69"/>
      <c r="F506" s="69"/>
      <c r="G506" s="69"/>
      <c r="H506" s="70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</row>
    <row r="507" ht="15.75" customHeight="1" spans="1:25">
      <c r="A507" s="88"/>
      <c r="B507" s="69"/>
      <c r="C507" s="90"/>
      <c r="D507" s="69"/>
      <c r="E507" s="69"/>
      <c r="F507" s="69"/>
      <c r="G507" s="69"/>
      <c r="H507" s="70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</row>
    <row r="508" ht="15.75" customHeight="1" spans="1:25">
      <c r="A508" s="88"/>
      <c r="B508" s="69"/>
      <c r="C508" s="90"/>
      <c r="D508" s="69"/>
      <c r="E508" s="69"/>
      <c r="F508" s="69"/>
      <c r="G508" s="69"/>
      <c r="H508" s="70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</row>
    <row r="509" ht="15.75" customHeight="1" spans="1:25">
      <c r="A509" s="88"/>
      <c r="B509" s="69"/>
      <c r="C509" s="90"/>
      <c r="D509" s="69"/>
      <c r="E509" s="69"/>
      <c r="F509" s="69"/>
      <c r="G509" s="69"/>
      <c r="H509" s="70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</row>
    <row r="510" ht="15.75" customHeight="1" spans="1:25">
      <c r="A510" s="88"/>
      <c r="B510" s="69"/>
      <c r="C510" s="90"/>
      <c r="D510" s="69"/>
      <c r="E510" s="69"/>
      <c r="F510" s="69"/>
      <c r="G510" s="69"/>
      <c r="H510" s="70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</row>
    <row r="511" ht="15.75" customHeight="1" spans="1:25">
      <c r="A511" s="88"/>
      <c r="B511" s="69"/>
      <c r="C511" s="90"/>
      <c r="D511" s="69"/>
      <c r="E511" s="69"/>
      <c r="F511" s="69"/>
      <c r="G511" s="69"/>
      <c r="H511" s="70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</row>
    <row r="512" ht="15.75" customHeight="1" spans="1:25">
      <c r="A512" s="88"/>
      <c r="B512" s="69"/>
      <c r="C512" s="90"/>
      <c r="D512" s="69"/>
      <c r="E512" s="69"/>
      <c r="F512" s="69"/>
      <c r="G512" s="69"/>
      <c r="H512" s="70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</row>
    <row r="513" ht="15.75" customHeight="1" spans="1:25">
      <c r="A513" s="88"/>
      <c r="B513" s="69"/>
      <c r="C513" s="90"/>
      <c r="D513" s="69"/>
      <c r="E513" s="69"/>
      <c r="F513" s="69"/>
      <c r="G513" s="69"/>
      <c r="H513" s="70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</row>
    <row r="514" ht="15.75" customHeight="1" spans="1:25">
      <c r="A514" s="88"/>
      <c r="B514" s="69"/>
      <c r="C514" s="90"/>
      <c r="D514" s="69"/>
      <c r="E514" s="69"/>
      <c r="F514" s="69"/>
      <c r="G514" s="69"/>
      <c r="H514" s="70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</row>
    <row r="515" ht="15.75" customHeight="1" spans="1:25">
      <c r="A515" s="88"/>
      <c r="B515" s="69"/>
      <c r="C515" s="90"/>
      <c r="D515" s="69"/>
      <c r="E515" s="69"/>
      <c r="F515" s="69"/>
      <c r="G515" s="69"/>
      <c r="H515" s="70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</row>
    <row r="516" ht="15.75" customHeight="1" spans="1:25">
      <c r="A516" s="88"/>
      <c r="B516" s="69"/>
      <c r="C516" s="90"/>
      <c r="D516" s="69"/>
      <c r="E516" s="69"/>
      <c r="F516" s="69"/>
      <c r="G516" s="69"/>
      <c r="H516" s="70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</row>
    <row r="517" ht="15.75" customHeight="1" spans="1:25">
      <c r="A517" s="88"/>
      <c r="B517" s="69"/>
      <c r="C517" s="90"/>
      <c r="D517" s="69"/>
      <c r="E517" s="69"/>
      <c r="F517" s="69"/>
      <c r="G517" s="69"/>
      <c r="H517" s="70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</row>
    <row r="518" ht="15.75" customHeight="1" spans="1:25">
      <c r="A518" s="88"/>
      <c r="B518" s="69"/>
      <c r="C518" s="90"/>
      <c r="D518" s="69"/>
      <c r="E518" s="69"/>
      <c r="F518" s="69"/>
      <c r="G518" s="69"/>
      <c r="H518" s="70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</row>
    <row r="519" ht="15.75" customHeight="1" spans="1:25">
      <c r="A519" s="88"/>
      <c r="B519" s="69"/>
      <c r="C519" s="90"/>
      <c r="D519" s="69"/>
      <c r="E519" s="69"/>
      <c r="F519" s="69"/>
      <c r="G519" s="69"/>
      <c r="H519" s="70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</row>
    <row r="520" ht="15.75" customHeight="1" spans="1:25">
      <c r="A520" s="88"/>
      <c r="B520" s="69"/>
      <c r="C520" s="90"/>
      <c r="D520" s="69"/>
      <c r="E520" s="69"/>
      <c r="F520" s="69"/>
      <c r="G520" s="69"/>
      <c r="H520" s="70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</row>
    <row r="521" ht="15.75" customHeight="1" spans="1:25">
      <c r="A521" s="88"/>
      <c r="B521" s="69"/>
      <c r="C521" s="90"/>
      <c r="D521" s="69"/>
      <c r="E521" s="69"/>
      <c r="F521" s="69"/>
      <c r="G521" s="69"/>
      <c r="H521" s="70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</row>
    <row r="522" ht="15.75" customHeight="1" spans="1:25">
      <c r="A522" s="88"/>
      <c r="B522" s="69"/>
      <c r="C522" s="90"/>
      <c r="D522" s="69"/>
      <c r="E522" s="69"/>
      <c r="F522" s="69"/>
      <c r="G522" s="69"/>
      <c r="H522" s="70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</row>
    <row r="523" ht="15.75" customHeight="1" spans="1:25">
      <c r="A523" s="88"/>
      <c r="B523" s="69"/>
      <c r="C523" s="90"/>
      <c r="D523" s="69"/>
      <c r="E523" s="69"/>
      <c r="F523" s="69"/>
      <c r="G523" s="69"/>
      <c r="H523" s="70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</row>
    <row r="524" ht="15.75" customHeight="1" spans="1:25">
      <c r="A524" s="88"/>
      <c r="B524" s="69"/>
      <c r="C524" s="90"/>
      <c r="D524" s="69"/>
      <c r="E524" s="69"/>
      <c r="F524" s="69"/>
      <c r="G524" s="69"/>
      <c r="H524" s="70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</row>
    <row r="525" ht="15.75" customHeight="1" spans="1:25">
      <c r="A525" s="88"/>
      <c r="B525" s="69"/>
      <c r="C525" s="90"/>
      <c r="D525" s="69"/>
      <c r="E525" s="69"/>
      <c r="F525" s="69"/>
      <c r="G525" s="69"/>
      <c r="H525" s="70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</row>
    <row r="526" ht="15.75" customHeight="1" spans="1:25">
      <c r="A526" s="88"/>
      <c r="B526" s="69"/>
      <c r="C526" s="90"/>
      <c r="D526" s="69"/>
      <c r="E526" s="69"/>
      <c r="F526" s="69"/>
      <c r="G526" s="69"/>
      <c r="H526" s="70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</row>
    <row r="527" ht="15.75" customHeight="1" spans="1:25">
      <c r="A527" s="88"/>
      <c r="B527" s="69"/>
      <c r="C527" s="90"/>
      <c r="D527" s="69"/>
      <c r="E527" s="69"/>
      <c r="F527" s="69"/>
      <c r="G527" s="69"/>
      <c r="H527" s="70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</row>
    <row r="528" ht="15.75" customHeight="1" spans="1:25">
      <c r="A528" s="88"/>
      <c r="B528" s="69"/>
      <c r="C528" s="90"/>
      <c r="D528" s="69"/>
      <c r="E528" s="69"/>
      <c r="F528" s="69"/>
      <c r="G528" s="69"/>
      <c r="H528" s="70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</row>
    <row r="529" ht="15.75" customHeight="1" spans="1:25">
      <c r="A529" s="88"/>
      <c r="B529" s="69"/>
      <c r="C529" s="90"/>
      <c r="D529" s="69"/>
      <c r="E529" s="69"/>
      <c r="F529" s="69"/>
      <c r="G529" s="69"/>
      <c r="H529" s="70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</row>
    <row r="530" ht="15.75" customHeight="1" spans="1:25">
      <c r="A530" s="88"/>
      <c r="B530" s="69"/>
      <c r="C530" s="90"/>
      <c r="D530" s="69"/>
      <c r="E530" s="69"/>
      <c r="F530" s="69"/>
      <c r="G530" s="69"/>
      <c r="H530" s="70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</row>
    <row r="531" ht="15.75" customHeight="1" spans="1:25">
      <c r="A531" s="88"/>
      <c r="B531" s="69"/>
      <c r="C531" s="90"/>
      <c r="D531" s="69"/>
      <c r="E531" s="69"/>
      <c r="F531" s="69"/>
      <c r="G531" s="69"/>
      <c r="H531" s="70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</row>
    <row r="532" ht="15.75" customHeight="1" spans="1:25">
      <c r="A532" s="88"/>
      <c r="B532" s="69"/>
      <c r="C532" s="90"/>
      <c r="D532" s="69"/>
      <c r="E532" s="69"/>
      <c r="F532" s="69"/>
      <c r="G532" s="69"/>
      <c r="H532" s="70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</row>
    <row r="533" ht="15.75" customHeight="1" spans="1:25">
      <c r="A533" s="88"/>
      <c r="B533" s="69"/>
      <c r="C533" s="90"/>
      <c r="D533" s="69"/>
      <c r="E533" s="69"/>
      <c r="F533" s="69"/>
      <c r="G533" s="69"/>
      <c r="H533" s="70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</row>
    <row r="534" ht="15.75" customHeight="1" spans="1:25">
      <c r="A534" s="88"/>
      <c r="B534" s="69"/>
      <c r="C534" s="90"/>
      <c r="D534" s="69"/>
      <c r="E534" s="69"/>
      <c r="F534" s="69"/>
      <c r="G534" s="69"/>
      <c r="H534" s="70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</row>
    <row r="535" ht="15.75" customHeight="1" spans="1:25">
      <c r="A535" s="88"/>
      <c r="B535" s="69"/>
      <c r="C535" s="90"/>
      <c r="D535" s="69"/>
      <c r="E535" s="69"/>
      <c r="F535" s="69"/>
      <c r="G535" s="69"/>
      <c r="H535" s="70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</row>
    <row r="536" ht="15.75" customHeight="1" spans="1:25">
      <c r="A536" s="88"/>
      <c r="B536" s="69"/>
      <c r="C536" s="90"/>
      <c r="D536" s="69"/>
      <c r="E536" s="69"/>
      <c r="F536" s="69"/>
      <c r="G536" s="69"/>
      <c r="H536" s="70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</row>
    <row r="537" ht="15.75" customHeight="1" spans="1:25">
      <c r="A537" s="88"/>
      <c r="B537" s="69"/>
      <c r="C537" s="90"/>
      <c r="D537" s="69"/>
      <c r="E537" s="69"/>
      <c r="F537" s="69"/>
      <c r="G537" s="69"/>
      <c r="H537" s="70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</row>
    <row r="538" ht="15.75" customHeight="1" spans="1:25">
      <c r="A538" s="88"/>
      <c r="B538" s="69"/>
      <c r="C538" s="90"/>
      <c r="D538" s="69"/>
      <c r="E538" s="69"/>
      <c r="F538" s="69"/>
      <c r="G538" s="69"/>
      <c r="H538" s="70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</row>
    <row r="539" ht="15.75" customHeight="1" spans="1:25">
      <c r="A539" s="88"/>
      <c r="B539" s="69"/>
      <c r="C539" s="90"/>
      <c r="D539" s="69"/>
      <c r="E539" s="69"/>
      <c r="F539" s="69"/>
      <c r="G539" s="69"/>
      <c r="H539" s="70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</row>
    <row r="540" ht="15.75" customHeight="1" spans="1:25">
      <c r="A540" s="88"/>
      <c r="B540" s="69"/>
      <c r="C540" s="90"/>
      <c r="D540" s="69"/>
      <c r="E540" s="69"/>
      <c r="F540" s="69"/>
      <c r="G540" s="69"/>
      <c r="H540" s="70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</row>
    <row r="541" ht="15.75" customHeight="1" spans="1:25">
      <c r="A541" s="88"/>
      <c r="B541" s="69"/>
      <c r="C541" s="90"/>
      <c r="D541" s="69"/>
      <c r="E541" s="69"/>
      <c r="F541" s="69"/>
      <c r="G541" s="69"/>
      <c r="H541" s="70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</row>
    <row r="542" ht="15.75" customHeight="1" spans="1:25">
      <c r="A542" s="88"/>
      <c r="B542" s="69"/>
      <c r="C542" s="90"/>
      <c r="D542" s="69"/>
      <c r="E542" s="69"/>
      <c r="F542" s="69"/>
      <c r="G542" s="69"/>
      <c r="H542" s="70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</row>
    <row r="543" ht="15.75" customHeight="1" spans="1:25">
      <c r="A543" s="88"/>
      <c r="B543" s="69"/>
      <c r="C543" s="90"/>
      <c r="D543" s="69"/>
      <c r="E543" s="69"/>
      <c r="F543" s="69"/>
      <c r="G543" s="69"/>
      <c r="H543" s="70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</row>
    <row r="544" ht="15.75" customHeight="1" spans="1:25">
      <c r="A544" s="88"/>
      <c r="B544" s="69"/>
      <c r="C544" s="90"/>
      <c r="D544" s="69"/>
      <c r="E544" s="69"/>
      <c r="F544" s="69"/>
      <c r="G544" s="69"/>
      <c r="H544" s="70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</row>
    <row r="545" ht="15.75" customHeight="1" spans="1:25">
      <c r="A545" s="88"/>
      <c r="B545" s="69"/>
      <c r="C545" s="90"/>
      <c r="D545" s="69"/>
      <c r="E545" s="69"/>
      <c r="F545" s="69"/>
      <c r="G545" s="69"/>
      <c r="H545" s="70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</row>
    <row r="546" ht="15.75" customHeight="1" spans="1:25">
      <c r="A546" s="88"/>
      <c r="B546" s="69"/>
      <c r="C546" s="90"/>
      <c r="D546" s="69"/>
      <c r="E546" s="69"/>
      <c r="F546" s="69"/>
      <c r="G546" s="69"/>
      <c r="H546" s="70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</row>
    <row r="547" ht="15.75" customHeight="1" spans="1:25">
      <c r="A547" s="88"/>
      <c r="B547" s="69"/>
      <c r="C547" s="90"/>
      <c r="D547" s="69"/>
      <c r="E547" s="69"/>
      <c r="F547" s="69"/>
      <c r="G547" s="69"/>
      <c r="H547" s="70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</row>
    <row r="548" ht="15.75" customHeight="1" spans="1:25">
      <c r="A548" s="88"/>
      <c r="B548" s="69"/>
      <c r="C548" s="90"/>
      <c r="D548" s="69"/>
      <c r="E548" s="69"/>
      <c r="F548" s="69"/>
      <c r="G548" s="69"/>
      <c r="H548" s="70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</row>
    <row r="549" ht="15.75" customHeight="1" spans="1:25">
      <c r="A549" s="88"/>
      <c r="B549" s="69"/>
      <c r="C549" s="90"/>
      <c r="D549" s="69"/>
      <c r="E549" s="69"/>
      <c r="F549" s="69"/>
      <c r="G549" s="69"/>
      <c r="H549" s="70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</row>
    <row r="550" ht="15.75" customHeight="1" spans="1:25">
      <c r="A550" s="88"/>
      <c r="B550" s="69"/>
      <c r="C550" s="90"/>
      <c r="D550" s="69"/>
      <c r="E550" s="69"/>
      <c r="F550" s="69"/>
      <c r="G550" s="69"/>
      <c r="H550" s="70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</row>
    <row r="551" ht="15.75" customHeight="1" spans="1:25">
      <c r="A551" s="88"/>
      <c r="B551" s="69"/>
      <c r="C551" s="90"/>
      <c r="D551" s="69"/>
      <c r="E551" s="69"/>
      <c r="F551" s="69"/>
      <c r="G551" s="69"/>
      <c r="H551" s="70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</row>
    <row r="552" ht="15.75" customHeight="1" spans="1:25">
      <c r="A552" s="88"/>
      <c r="B552" s="69"/>
      <c r="C552" s="90"/>
      <c r="D552" s="69"/>
      <c r="E552" s="69"/>
      <c r="F552" s="69"/>
      <c r="G552" s="69"/>
      <c r="H552" s="70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</row>
    <row r="553" ht="15.75" customHeight="1" spans="1:25">
      <c r="A553" s="88"/>
      <c r="B553" s="69"/>
      <c r="C553" s="90"/>
      <c r="D553" s="69"/>
      <c r="E553" s="69"/>
      <c r="F553" s="69"/>
      <c r="G553" s="69"/>
      <c r="H553" s="70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</row>
    <row r="554" ht="15.75" customHeight="1" spans="1:25">
      <c r="A554" s="88"/>
      <c r="B554" s="69"/>
      <c r="C554" s="90"/>
      <c r="D554" s="69"/>
      <c r="E554" s="69"/>
      <c r="F554" s="69"/>
      <c r="G554" s="69"/>
      <c r="H554" s="70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</row>
    <row r="555" ht="15.75" customHeight="1" spans="1:25">
      <c r="A555" s="88"/>
      <c r="B555" s="69"/>
      <c r="C555" s="90"/>
      <c r="D555" s="69"/>
      <c r="E555" s="69"/>
      <c r="F555" s="69"/>
      <c r="G555" s="69"/>
      <c r="H555" s="70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</row>
    <row r="556" ht="15.75" customHeight="1" spans="1:25">
      <c r="A556" s="88"/>
      <c r="B556" s="69"/>
      <c r="C556" s="90"/>
      <c r="D556" s="69"/>
      <c r="E556" s="69"/>
      <c r="F556" s="69"/>
      <c r="G556" s="69"/>
      <c r="H556" s="70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</row>
    <row r="557" ht="15.75" customHeight="1" spans="1:25">
      <c r="A557" s="88"/>
      <c r="B557" s="69"/>
      <c r="C557" s="90"/>
      <c r="D557" s="69"/>
      <c r="E557" s="69"/>
      <c r="F557" s="69"/>
      <c r="G557" s="69"/>
      <c r="H557" s="70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</row>
    <row r="558" ht="15.75" customHeight="1" spans="1:25">
      <c r="A558" s="88"/>
      <c r="B558" s="69"/>
      <c r="C558" s="90"/>
      <c r="D558" s="69"/>
      <c r="E558" s="69"/>
      <c r="F558" s="69"/>
      <c r="G558" s="69"/>
      <c r="H558" s="70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</row>
    <row r="559" ht="15.75" customHeight="1" spans="1:25">
      <c r="A559" s="88"/>
      <c r="B559" s="69"/>
      <c r="C559" s="90"/>
      <c r="D559" s="69"/>
      <c r="E559" s="69"/>
      <c r="F559" s="69"/>
      <c r="G559" s="69"/>
      <c r="H559" s="70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</row>
    <row r="560" ht="15.75" customHeight="1" spans="1:25">
      <c r="A560" s="88"/>
      <c r="B560" s="69"/>
      <c r="C560" s="90"/>
      <c r="D560" s="69"/>
      <c r="E560" s="69"/>
      <c r="F560" s="69"/>
      <c r="G560" s="69"/>
      <c r="H560" s="70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</row>
    <row r="561" ht="15.75" customHeight="1" spans="1:25">
      <c r="A561" s="88"/>
      <c r="B561" s="69"/>
      <c r="C561" s="90"/>
      <c r="D561" s="69"/>
      <c r="E561" s="69"/>
      <c r="F561" s="69"/>
      <c r="G561" s="69"/>
      <c r="H561" s="70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</row>
    <row r="562" ht="15.75" customHeight="1" spans="1:25">
      <c r="A562" s="88"/>
      <c r="B562" s="69"/>
      <c r="C562" s="90"/>
      <c r="D562" s="69"/>
      <c r="E562" s="69"/>
      <c r="F562" s="69"/>
      <c r="G562" s="69"/>
      <c r="H562" s="70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</row>
    <row r="563" ht="15.75" customHeight="1" spans="1:25">
      <c r="A563" s="88"/>
      <c r="B563" s="69"/>
      <c r="C563" s="90"/>
      <c r="D563" s="69"/>
      <c r="E563" s="69"/>
      <c r="F563" s="69"/>
      <c r="G563" s="69"/>
      <c r="H563" s="70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</row>
    <row r="564" ht="15.75" customHeight="1" spans="1:25">
      <c r="A564" s="88"/>
      <c r="B564" s="69"/>
      <c r="C564" s="90"/>
      <c r="D564" s="69"/>
      <c r="E564" s="69"/>
      <c r="F564" s="69"/>
      <c r="G564" s="69"/>
      <c r="H564" s="70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</row>
    <row r="565" ht="15.75" customHeight="1" spans="1:25">
      <c r="A565" s="88"/>
      <c r="B565" s="69"/>
      <c r="C565" s="90"/>
      <c r="D565" s="69"/>
      <c r="E565" s="69"/>
      <c r="F565" s="69"/>
      <c r="G565" s="69"/>
      <c r="H565" s="70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</row>
    <row r="566" ht="15.75" customHeight="1" spans="1:25">
      <c r="A566" s="88"/>
      <c r="B566" s="69"/>
      <c r="C566" s="90"/>
      <c r="D566" s="69"/>
      <c r="E566" s="69"/>
      <c r="F566" s="69"/>
      <c r="G566" s="69"/>
      <c r="H566" s="70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</row>
    <row r="567" ht="15.75" customHeight="1" spans="1:25">
      <c r="A567" s="88"/>
      <c r="B567" s="69"/>
      <c r="C567" s="90"/>
      <c r="D567" s="69"/>
      <c r="E567" s="69"/>
      <c r="F567" s="69"/>
      <c r="G567" s="69"/>
      <c r="H567" s="70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</row>
    <row r="568" ht="15.75" customHeight="1" spans="1:25">
      <c r="A568" s="88"/>
      <c r="B568" s="69"/>
      <c r="C568" s="90"/>
      <c r="D568" s="69"/>
      <c r="E568" s="69"/>
      <c r="F568" s="69"/>
      <c r="G568" s="69"/>
      <c r="H568" s="70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</row>
    <row r="569" ht="15.75" customHeight="1" spans="1:25">
      <c r="A569" s="88"/>
      <c r="B569" s="69"/>
      <c r="C569" s="90"/>
      <c r="D569" s="69"/>
      <c r="E569" s="69"/>
      <c r="F569" s="69"/>
      <c r="G569" s="69"/>
      <c r="H569" s="70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</row>
    <row r="570" ht="15.75" customHeight="1" spans="1:25">
      <c r="A570" s="88"/>
      <c r="B570" s="69"/>
      <c r="C570" s="90"/>
      <c r="D570" s="69"/>
      <c r="E570" s="69"/>
      <c r="F570" s="69"/>
      <c r="G570" s="69"/>
      <c r="H570" s="70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</row>
    <row r="571" ht="15.75" customHeight="1" spans="1:25">
      <c r="A571" s="88"/>
      <c r="B571" s="69"/>
      <c r="C571" s="90"/>
      <c r="D571" s="69"/>
      <c r="E571" s="69"/>
      <c r="F571" s="69"/>
      <c r="G571" s="69"/>
      <c r="H571" s="70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</row>
    <row r="572" ht="15.75" customHeight="1" spans="1:25">
      <c r="A572" s="88"/>
      <c r="B572" s="69"/>
      <c r="C572" s="90"/>
      <c r="D572" s="69"/>
      <c r="E572" s="69"/>
      <c r="F572" s="69"/>
      <c r="G572" s="69"/>
      <c r="H572" s="70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</row>
    <row r="573" ht="15.75" customHeight="1" spans="1:25">
      <c r="A573" s="88"/>
      <c r="B573" s="69"/>
      <c r="C573" s="90"/>
      <c r="D573" s="69"/>
      <c r="E573" s="69"/>
      <c r="F573" s="69"/>
      <c r="G573" s="69"/>
      <c r="H573" s="70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</row>
    <row r="574" ht="15.75" customHeight="1" spans="1:25">
      <c r="A574" s="88"/>
      <c r="B574" s="69"/>
      <c r="C574" s="90"/>
      <c r="D574" s="69"/>
      <c r="E574" s="69"/>
      <c r="F574" s="69"/>
      <c r="G574" s="69"/>
      <c r="H574" s="70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</row>
    <row r="575" ht="15.75" customHeight="1" spans="1:25">
      <c r="A575" s="88"/>
      <c r="B575" s="69"/>
      <c r="C575" s="90"/>
      <c r="D575" s="69"/>
      <c r="E575" s="69"/>
      <c r="F575" s="69"/>
      <c r="G575" s="69"/>
      <c r="H575" s="70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</row>
    <row r="576" ht="15.75" customHeight="1" spans="1:25">
      <c r="A576" s="88"/>
      <c r="B576" s="69"/>
      <c r="C576" s="90"/>
      <c r="D576" s="69"/>
      <c r="E576" s="69"/>
      <c r="F576" s="69"/>
      <c r="G576" s="69"/>
      <c r="H576" s="70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</row>
    <row r="577" ht="15.75" customHeight="1" spans="1:25">
      <c r="A577" s="88"/>
      <c r="B577" s="69"/>
      <c r="C577" s="90"/>
      <c r="D577" s="69"/>
      <c r="E577" s="69"/>
      <c r="F577" s="69"/>
      <c r="G577" s="69"/>
      <c r="H577" s="70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</row>
    <row r="578" ht="15.75" customHeight="1" spans="1:25">
      <c r="A578" s="88"/>
      <c r="B578" s="69"/>
      <c r="C578" s="90"/>
      <c r="D578" s="69"/>
      <c r="E578" s="69"/>
      <c r="F578" s="69"/>
      <c r="G578" s="69"/>
      <c r="H578" s="70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</row>
    <row r="579" ht="15.75" customHeight="1" spans="1:25">
      <c r="A579" s="88"/>
      <c r="B579" s="69"/>
      <c r="C579" s="90"/>
      <c r="D579" s="69"/>
      <c r="E579" s="69"/>
      <c r="F579" s="69"/>
      <c r="G579" s="69"/>
      <c r="H579" s="70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</row>
    <row r="580" ht="15.75" customHeight="1" spans="1:25">
      <c r="A580" s="88"/>
      <c r="B580" s="69"/>
      <c r="C580" s="90"/>
      <c r="D580" s="69"/>
      <c r="E580" s="69"/>
      <c r="F580" s="69"/>
      <c r="G580" s="69"/>
      <c r="H580" s="70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</row>
    <row r="581" ht="15.75" customHeight="1" spans="1:25">
      <c r="A581" s="88"/>
      <c r="B581" s="69"/>
      <c r="C581" s="90"/>
      <c r="D581" s="69"/>
      <c r="E581" s="69"/>
      <c r="F581" s="69"/>
      <c r="G581" s="69"/>
      <c r="H581" s="70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</row>
    <row r="582" ht="15.75" customHeight="1" spans="1:25">
      <c r="A582" s="88"/>
      <c r="B582" s="69"/>
      <c r="C582" s="90"/>
      <c r="D582" s="69"/>
      <c r="E582" s="69"/>
      <c r="F582" s="69"/>
      <c r="G582" s="69"/>
      <c r="H582" s="70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</row>
    <row r="583" ht="15.75" customHeight="1" spans="1:25">
      <c r="A583" s="88"/>
      <c r="B583" s="69"/>
      <c r="C583" s="90"/>
      <c r="D583" s="69"/>
      <c r="E583" s="69"/>
      <c r="F583" s="69"/>
      <c r="G583" s="69"/>
      <c r="H583" s="70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</row>
    <row r="584" ht="15.75" customHeight="1" spans="1:25">
      <c r="A584" s="88"/>
      <c r="B584" s="69"/>
      <c r="C584" s="90"/>
      <c r="D584" s="69"/>
      <c r="E584" s="69"/>
      <c r="F584" s="69"/>
      <c r="G584" s="69"/>
      <c r="H584" s="70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</row>
    <row r="585" ht="15.75" customHeight="1" spans="1:25">
      <c r="A585" s="88"/>
      <c r="B585" s="69"/>
      <c r="C585" s="90"/>
      <c r="D585" s="69"/>
      <c r="E585" s="69"/>
      <c r="F585" s="69"/>
      <c r="G585" s="69"/>
      <c r="H585" s="70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</row>
    <row r="586" ht="15.75" customHeight="1" spans="1:25">
      <c r="A586" s="88"/>
      <c r="B586" s="69"/>
      <c r="C586" s="90"/>
      <c r="D586" s="69"/>
      <c r="E586" s="69"/>
      <c r="F586" s="69"/>
      <c r="G586" s="69"/>
      <c r="H586" s="70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</row>
    <row r="587" ht="15.75" customHeight="1" spans="1:25">
      <c r="A587" s="88"/>
      <c r="B587" s="69"/>
      <c r="C587" s="90"/>
      <c r="D587" s="69"/>
      <c r="E587" s="69"/>
      <c r="F587" s="69"/>
      <c r="G587" s="69"/>
      <c r="H587" s="70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</row>
    <row r="588" ht="15.75" customHeight="1" spans="1:25">
      <c r="A588" s="88"/>
      <c r="B588" s="69"/>
      <c r="C588" s="90"/>
      <c r="D588" s="69"/>
      <c r="E588" s="69"/>
      <c r="F588" s="69"/>
      <c r="G588" s="69"/>
      <c r="H588" s="70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</row>
    <row r="589" ht="15.75" customHeight="1" spans="1:25">
      <c r="A589" s="88"/>
      <c r="B589" s="69"/>
      <c r="C589" s="90"/>
      <c r="D589" s="69"/>
      <c r="E589" s="69"/>
      <c r="F589" s="69"/>
      <c r="G589" s="69"/>
      <c r="H589" s="70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</row>
    <row r="590" ht="15.75" customHeight="1" spans="1:25">
      <c r="A590" s="88"/>
      <c r="B590" s="69"/>
      <c r="C590" s="90"/>
      <c r="D590" s="69"/>
      <c r="E590" s="69"/>
      <c r="F590" s="69"/>
      <c r="G590" s="69"/>
      <c r="H590" s="70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</row>
    <row r="591" ht="15.75" customHeight="1" spans="1:25">
      <c r="A591" s="88"/>
      <c r="B591" s="69"/>
      <c r="C591" s="90"/>
      <c r="D591" s="69"/>
      <c r="E591" s="69"/>
      <c r="F591" s="69"/>
      <c r="G591" s="69"/>
      <c r="H591" s="70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</row>
    <row r="592" ht="15.75" customHeight="1" spans="1:25">
      <c r="A592" s="88"/>
      <c r="B592" s="69"/>
      <c r="C592" s="90"/>
      <c r="D592" s="69"/>
      <c r="E592" s="69"/>
      <c r="F592" s="69"/>
      <c r="G592" s="69"/>
      <c r="H592" s="70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</row>
    <row r="593" ht="15.75" customHeight="1" spans="1:25">
      <c r="A593" s="88"/>
      <c r="B593" s="69"/>
      <c r="C593" s="90"/>
      <c r="D593" s="69"/>
      <c r="E593" s="69"/>
      <c r="F593" s="69"/>
      <c r="G593" s="69"/>
      <c r="H593" s="70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</row>
    <row r="594" ht="15.75" customHeight="1" spans="1:25">
      <c r="A594" s="88"/>
      <c r="B594" s="69"/>
      <c r="C594" s="90"/>
      <c r="D594" s="69"/>
      <c r="E594" s="69"/>
      <c r="F594" s="69"/>
      <c r="G594" s="69"/>
      <c r="H594" s="70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</row>
    <row r="595" ht="15.75" customHeight="1" spans="1:25">
      <c r="A595" s="88"/>
      <c r="B595" s="69"/>
      <c r="C595" s="90"/>
      <c r="D595" s="69"/>
      <c r="E595" s="69"/>
      <c r="F595" s="69"/>
      <c r="G595" s="69"/>
      <c r="H595" s="70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</row>
    <row r="596" ht="15.75" customHeight="1" spans="1:25">
      <c r="A596" s="88"/>
      <c r="B596" s="69"/>
      <c r="C596" s="90"/>
      <c r="D596" s="69"/>
      <c r="E596" s="69"/>
      <c r="F596" s="69"/>
      <c r="G596" s="69"/>
      <c r="H596" s="70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</row>
    <row r="597" ht="15.75" customHeight="1" spans="1:25">
      <c r="A597" s="88"/>
      <c r="B597" s="69"/>
      <c r="C597" s="90"/>
      <c r="D597" s="69"/>
      <c r="E597" s="69"/>
      <c r="F597" s="69"/>
      <c r="G597" s="69"/>
      <c r="H597" s="70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</row>
    <row r="598" ht="15.75" customHeight="1" spans="1:25">
      <c r="A598" s="88"/>
      <c r="B598" s="69"/>
      <c r="C598" s="90"/>
      <c r="D598" s="69"/>
      <c r="E598" s="69"/>
      <c r="F598" s="69"/>
      <c r="G598" s="69"/>
      <c r="H598" s="70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</row>
    <row r="599" ht="15.75" customHeight="1" spans="1:25">
      <c r="A599" s="88"/>
      <c r="B599" s="69"/>
      <c r="C599" s="90"/>
      <c r="D599" s="69"/>
      <c r="E599" s="69"/>
      <c r="F599" s="69"/>
      <c r="G599" s="69"/>
      <c r="H599" s="70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</row>
    <row r="600" ht="15.75" customHeight="1" spans="1:25">
      <c r="A600" s="88"/>
      <c r="B600" s="69"/>
      <c r="C600" s="90"/>
      <c r="D600" s="69"/>
      <c r="E600" s="69"/>
      <c r="F600" s="69"/>
      <c r="G600" s="69"/>
      <c r="H600" s="70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</row>
    <row r="601" ht="15.75" customHeight="1" spans="1:25">
      <c r="A601" s="88"/>
      <c r="B601" s="69"/>
      <c r="C601" s="90"/>
      <c r="D601" s="69"/>
      <c r="E601" s="69"/>
      <c r="F601" s="69"/>
      <c r="G601" s="69"/>
      <c r="H601" s="70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</row>
    <row r="602" ht="15.75" customHeight="1" spans="1:25">
      <c r="A602" s="88"/>
      <c r="B602" s="69"/>
      <c r="C602" s="90"/>
      <c r="D602" s="69"/>
      <c r="E602" s="69"/>
      <c r="F602" s="69"/>
      <c r="G602" s="69"/>
      <c r="H602" s="70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</row>
    <row r="603" ht="15.75" customHeight="1" spans="1:25">
      <c r="A603" s="88"/>
      <c r="B603" s="69"/>
      <c r="C603" s="90"/>
      <c r="D603" s="69"/>
      <c r="E603" s="69"/>
      <c r="F603" s="69"/>
      <c r="G603" s="69"/>
      <c r="H603" s="70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</row>
    <row r="604" ht="15.75" customHeight="1" spans="1:25">
      <c r="A604" s="88"/>
      <c r="B604" s="69"/>
      <c r="C604" s="90"/>
      <c r="D604" s="69"/>
      <c r="E604" s="69"/>
      <c r="F604" s="69"/>
      <c r="G604" s="69"/>
      <c r="H604" s="70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</row>
    <row r="605" ht="15.75" customHeight="1" spans="1:25">
      <c r="A605" s="88"/>
      <c r="B605" s="69"/>
      <c r="C605" s="90"/>
      <c r="D605" s="69"/>
      <c r="E605" s="69"/>
      <c r="F605" s="69"/>
      <c r="G605" s="69"/>
      <c r="H605" s="70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</row>
    <row r="606" ht="15.75" customHeight="1" spans="1:25">
      <c r="A606" s="88"/>
      <c r="B606" s="69"/>
      <c r="C606" s="90"/>
      <c r="D606" s="69"/>
      <c r="E606" s="69"/>
      <c r="F606" s="69"/>
      <c r="G606" s="69"/>
      <c r="H606" s="70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</row>
    <row r="607" ht="15.75" customHeight="1" spans="1:25">
      <c r="A607" s="88"/>
      <c r="B607" s="69"/>
      <c r="C607" s="90"/>
      <c r="D607" s="69"/>
      <c r="E607" s="69"/>
      <c r="F607" s="69"/>
      <c r="G607" s="69"/>
      <c r="H607" s="70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</row>
    <row r="608" ht="15.75" customHeight="1" spans="1:25">
      <c r="A608" s="88"/>
      <c r="B608" s="69"/>
      <c r="C608" s="90"/>
      <c r="D608" s="69"/>
      <c r="E608" s="69"/>
      <c r="F608" s="69"/>
      <c r="G608" s="69"/>
      <c r="H608" s="70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</row>
    <row r="609" ht="15.75" customHeight="1" spans="1:25">
      <c r="A609" s="88"/>
      <c r="B609" s="69"/>
      <c r="C609" s="90"/>
      <c r="D609" s="69"/>
      <c r="E609" s="69"/>
      <c r="F609" s="69"/>
      <c r="G609" s="69"/>
      <c r="H609" s="70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</row>
    <row r="610" ht="15.75" customHeight="1" spans="1:25">
      <c r="A610" s="88"/>
      <c r="B610" s="69"/>
      <c r="C610" s="90"/>
      <c r="D610" s="69"/>
      <c r="E610" s="69"/>
      <c r="F610" s="69"/>
      <c r="G610" s="69"/>
      <c r="H610" s="70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</row>
    <row r="611" ht="15.75" customHeight="1" spans="1:25">
      <c r="A611" s="88"/>
      <c r="B611" s="69"/>
      <c r="C611" s="90"/>
      <c r="D611" s="69"/>
      <c r="E611" s="69"/>
      <c r="F611" s="69"/>
      <c r="G611" s="69"/>
      <c r="H611" s="70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</row>
    <row r="612" ht="15.75" customHeight="1" spans="1:25">
      <c r="A612" s="88"/>
      <c r="B612" s="69"/>
      <c r="C612" s="90"/>
      <c r="D612" s="69"/>
      <c r="E612" s="69"/>
      <c r="F612" s="69"/>
      <c r="G612" s="69"/>
      <c r="H612" s="70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</row>
    <row r="613" ht="15.75" customHeight="1" spans="1:25">
      <c r="A613" s="88"/>
      <c r="B613" s="69"/>
      <c r="C613" s="90"/>
      <c r="D613" s="69"/>
      <c r="E613" s="69"/>
      <c r="F613" s="69"/>
      <c r="G613" s="69"/>
      <c r="H613" s="70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</row>
    <row r="614" ht="15.75" customHeight="1" spans="1:25">
      <c r="A614" s="88"/>
      <c r="B614" s="69"/>
      <c r="C614" s="90"/>
      <c r="D614" s="69"/>
      <c r="E614" s="69"/>
      <c r="F614" s="69"/>
      <c r="G614" s="69"/>
      <c r="H614" s="70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</row>
    <row r="615" ht="15.75" customHeight="1" spans="1:25">
      <c r="A615" s="88"/>
      <c r="B615" s="69"/>
      <c r="C615" s="90"/>
      <c r="D615" s="69"/>
      <c r="E615" s="69"/>
      <c r="F615" s="69"/>
      <c r="G615" s="69"/>
      <c r="H615" s="70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</row>
    <row r="616" ht="15.75" customHeight="1" spans="1:25">
      <c r="A616" s="88"/>
      <c r="B616" s="69"/>
      <c r="C616" s="90"/>
      <c r="D616" s="69"/>
      <c r="E616" s="69"/>
      <c r="F616" s="69"/>
      <c r="G616" s="69"/>
      <c r="H616" s="70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</row>
    <row r="617" ht="15.75" customHeight="1" spans="1:25">
      <c r="A617" s="88"/>
      <c r="B617" s="69"/>
      <c r="C617" s="90"/>
      <c r="D617" s="69"/>
      <c r="E617" s="69"/>
      <c r="F617" s="69"/>
      <c r="G617" s="69"/>
      <c r="H617" s="70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</row>
    <row r="618" ht="15.75" customHeight="1" spans="1:25">
      <c r="A618" s="88"/>
      <c r="B618" s="69"/>
      <c r="C618" s="90"/>
      <c r="D618" s="69"/>
      <c r="E618" s="69"/>
      <c r="F618" s="69"/>
      <c r="G618" s="69"/>
      <c r="H618" s="70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</row>
    <row r="619" ht="15.75" customHeight="1" spans="1:25">
      <c r="A619" s="88"/>
      <c r="B619" s="69"/>
      <c r="C619" s="90"/>
      <c r="D619" s="69"/>
      <c r="E619" s="69"/>
      <c r="F619" s="69"/>
      <c r="G619" s="69"/>
      <c r="H619" s="70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</row>
    <row r="620" ht="15.75" customHeight="1" spans="1:25">
      <c r="A620" s="88"/>
      <c r="B620" s="69"/>
      <c r="C620" s="90"/>
      <c r="D620" s="69"/>
      <c r="E620" s="69"/>
      <c r="F620" s="69"/>
      <c r="G620" s="69"/>
      <c r="H620" s="70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</row>
    <row r="621" ht="15.75" customHeight="1" spans="1:25">
      <c r="A621" s="88"/>
      <c r="B621" s="69"/>
      <c r="C621" s="90"/>
      <c r="D621" s="69"/>
      <c r="E621" s="69"/>
      <c r="F621" s="69"/>
      <c r="G621" s="69"/>
      <c r="H621" s="70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</row>
    <row r="622" ht="15.75" customHeight="1" spans="1:25">
      <c r="A622" s="88"/>
      <c r="B622" s="69"/>
      <c r="C622" s="90"/>
      <c r="D622" s="69"/>
      <c r="E622" s="69"/>
      <c r="F622" s="69"/>
      <c r="G622" s="69"/>
      <c r="H622" s="70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</row>
    <row r="623" ht="15.75" customHeight="1" spans="1:25">
      <c r="A623" s="88"/>
      <c r="B623" s="69"/>
      <c r="C623" s="90"/>
      <c r="D623" s="69"/>
      <c r="E623" s="69"/>
      <c r="F623" s="69"/>
      <c r="G623" s="69"/>
      <c r="H623" s="70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</row>
    <row r="624" ht="15.75" customHeight="1" spans="1:25">
      <c r="A624" s="88"/>
      <c r="B624" s="69"/>
      <c r="C624" s="90"/>
      <c r="D624" s="69"/>
      <c r="E624" s="69"/>
      <c r="F624" s="69"/>
      <c r="G624" s="69"/>
      <c r="H624" s="70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</row>
    <row r="625" ht="15.75" customHeight="1" spans="1:25">
      <c r="A625" s="88"/>
      <c r="B625" s="69"/>
      <c r="C625" s="90"/>
      <c r="D625" s="69"/>
      <c r="E625" s="69"/>
      <c r="F625" s="69"/>
      <c r="G625" s="69"/>
      <c r="H625" s="70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</row>
    <row r="626" ht="15.75" customHeight="1" spans="1:25">
      <c r="A626" s="88"/>
      <c r="B626" s="69"/>
      <c r="C626" s="90"/>
      <c r="D626" s="69"/>
      <c r="E626" s="69"/>
      <c r="F626" s="69"/>
      <c r="G626" s="69"/>
      <c r="H626" s="70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</row>
    <row r="627" ht="15.75" customHeight="1" spans="1:25">
      <c r="A627" s="88"/>
      <c r="B627" s="69"/>
      <c r="C627" s="90"/>
      <c r="D627" s="69"/>
      <c r="E627" s="69"/>
      <c r="F627" s="69"/>
      <c r="G627" s="69"/>
      <c r="H627" s="70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</row>
    <row r="628" ht="15.75" customHeight="1" spans="1:25">
      <c r="A628" s="88"/>
      <c r="B628" s="69"/>
      <c r="C628" s="90"/>
      <c r="D628" s="69"/>
      <c r="E628" s="69"/>
      <c r="F628" s="69"/>
      <c r="G628" s="69"/>
      <c r="H628" s="70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</row>
    <row r="629" ht="15.75" customHeight="1" spans="1:25">
      <c r="A629" s="88"/>
      <c r="B629" s="69"/>
      <c r="C629" s="90"/>
      <c r="D629" s="69"/>
      <c r="E629" s="69"/>
      <c r="F629" s="69"/>
      <c r="G629" s="69"/>
      <c r="H629" s="70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</row>
    <row r="630" ht="15.75" customHeight="1" spans="1:25">
      <c r="A630" s="88"/>
      <c r="B630" s="69"/>
      <c r="C630" s="90"/>
      <c r="D630" s="69"/>
      <c r="E630" s="69"/>
      <c r="F630" s="69"/>
      <c r="G630" s="69"/>
      <c r="H630" s="70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</row>
    <row r="631" ht="15.75" customHeight="1" spans="1:25">
      <c r="A631" s="88"/>
      <c r="B631" s="69"/>
      <c r="C631" s="90"/>
      <c r="D631" s="69"/>
      <c r="E631" s="69"/>
      <c r="F631" s="69"/>
      <c r="G631" s="69"/>
      <c r="H631" s="70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</row>
    <row r="632" ht="15.75" customHeight="1" spans="1:25">
      <c r="A632" s="88"/>
      <c r="B632" s="69"/>
      <c r="C632" s="90"/>
      <c r="D632" s="69"/>
      <c r="E632" s="69"/>
      <c r="F632" s="69"/>
      <c r="G632" s="69"/>
      <c r="H632" s="70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</row>
    <row r="633" ht="15.75" customHeight="1" spans="1:25">
      <c r="A633" s="88"/>
      <c r="B633" s="69"/>
      <c r="C633" s="90"/>
      <c r="D633" s="69"/>
      <c r="E633" s="69"/>
      <c r="F633" s="69"/>
      <c r="G633" s="69"/>
      <c r="H633" s="70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</row>
    <row r="634" ht="15.75" customHeight="1" spans="1:25">
      <c r="A634" s="88"/>
      <c r="B634" s="69"/>
      <c r="C634" s="90"/>
      <c r="D634" s="69"/>
      <c r="E634" s="69"/>
      <c r="F634" s="69"/>
      <c r="G634" s="69"/>
      <c r="H634" s="70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</row>
    <row r="635" ht="15.75" customHeight="1" spans="1:25">
      <c r="A635" s="88"/>
      <c r="B635" s="69"/>
      <c r="C635" s="90"/>
      <c r="D635" s="69"/>
      <c r="E635" s="69"/>
      <c r="F635" s="69"/>
      <c r="G635" s="69"/>
      <c r="H635" s="70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</row>
    <row r="636" ht="15.75" customHeight="1" spans="1:25">
      <c r="A636" s="88"/>
      <c r="B636" s="69"/>
      <c r="C636" s="90"/>
      <c r="D636" s="69"/>
      <c r="E636" s="69"/>
      <c r="F636" s="69"/>
      <c r="G636" s="69"/>
      <c r="H636" s="70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</row>
    <row r="637" ht="15.75" customHeight="1" spans="1:25">
      <c r="A637" s="88"/>
      <c r="B637" s="69"/>
      <c r="C637" s="90"/>
      <c r="D637" s="69"/>
      <c r="E637" s="69"/>
      <c r="F637" s="69"/>
      <c r="G637" s="69"/>
      <c r="H637" s="70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</row>
    <row r="638" ht="15.75" customHeight="1" spans="1:25">
      <c r="A638" s="88"/>
      <c r="B638" s="69"/>
      <c r="C638" s="90"/>
      <c r="D638" s="69"/>
      <c r="E638" s="69"/>
      <c r="F638" s="69"/>
      <c r="G638" s="69"/>
      <c r="H638" s="70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</row>
    <row r="639" ht="15.75" customHeight="1" spans="1:25">
      <c r="A639" s="88"/>
      <c r="B639" s="69"/>
      <c r="C639" s="90"/>
      <c r="D639" s="69"/>
      <c r="E639" s="69"/>
      <c r="F639" s="69"/>
      <c r="G639" s="69"/>
      <c r="H639" s="70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</row>
    <row r="640" ht="15.75" customHeight="1" spans="1:25">
      <c r="A640" s="88"/>
      <c r="B640" s="69"/>
      <c r="C640" s="90"/>
      <c r="D640" s="69"/>
      <c r="E640" s="69"/>
      <c r="F640" s="69"/>
      <c r="G640" s="69"/>
      <c r="H640" s="70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</row>
    <row r="641" ht="15.75" customHeight="1" spans="1:25">
      <c r="A641" s="88"/>
      <c r="B641" s="69"/>
      <c r="C641" s="90"/>
      <c r="D641" s="69"/>
      <c r="E641" s="69"/>
      <c r="F641" s="69"/>
      <c r="G641" s="69"/>
      <c r="H641" s="70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</row>
    <row r="642" ht="15.75" customHeight="1" spans="1:25">
      <c r="A642" s="88"/>
      <c r="B642" s="69"/>
      <c r="C642" s="90"/>
      <c r="D642" s="69"/>
      <c r="E642" s="69"/>
      <c r="F642" s="69"/>
      <c r="G642" s="69"/>
      <c r="H642" s="70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</row>
    <row r="643" ht="15.75" customHeight="1" spans="1:25">
      <c r="A643" s="88"/>
      <c r="B643" s="69"/>
      <c r="C643" s="90"/>
      <c r="D643" s="69"/>
      <c r="E643" s="69"/>
      <c r="F643" s="69"/>
      <c r="G643" s="69"/>
      <c r="H643" s="70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</row>
    <row r="644" ht="15.75" customHeight="1" spans="1:25">
      <c r="A644" s="88"/>
      <c r="B644" s="69"/>
      <c r="C644" s="90"/>
      <c r="D644" s="69"/>
      <c r="E644" s="69"/>
      <c r="F644" s="69"/>
      <c r="G644" s="69"/>
      <c r="H644" s="70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</row>
    <row r="645" ht="15.75" customHeight="1" spans="1:25">
      <c r="A645" s="88"/>
      <c r="B645" s="69"/>
      <c r="C645" s="90"/>
      <c r="D645" s="69"/>
      <c r="E645" s="69"/>
      <c r="F645" s="69"/>
      <c r="G645" s="69"/>
      <c r="H645" s="70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</row>
    <row r="646" ht="15.75" customHeight="1" spans="1:25">
      <c r="A646" s="88"/>
      <c r="B646" s="69"/>
      <c r="C646" s="90"/>
      <c r="D646" s="69"/>
      <c r="E646" s="69"/>
      <c r="F646" s="69"/>
      <c r="G646" s="69"/>
      <c r="H646" s="70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</row>
    <row r="647" ht="15.75" customHeight="1" spans="1:25">
      <c r="A647" s="88"/>
      <c r="B647" s="69"/>
      <c r="C647" s="90"/>
      <c r="D647" s="69"/>
      <c r="E647" s="69"/>
      <c r="F647" s="69"/>
      <c r="G647" s="69"/>
      <c r="H647" s="70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</row>
    <row r="648" ht="15.75" customHeight="1" spans="1:25">
      <c r="A648" s="88"/>
      <c r="B648" s="69"/>
      <c r="C648" s="90"/>
      <c r="D648" s="69"/>
      <c r="E648" s="69"/>
      <c r="F648" s="69"/>
      <c r="G648" s="69"/>
      <c r="H648" s="70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</row>
    <row r="649" ht="15.75" customHeight="1" spans="1:25">
      <c r="A649" s="88"/>
      <c r="B649" s="69"/>
      <c r="C649" s="90"/>
      <c r="D649" s="69"/>
      <c r="E649" s="69"/>
      <c r="F649" s="69"/>
      <c r="G649" s="69"/>
      <c r="H649" s="70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</row>
    <row r="650" ht="15.75" customHeight="1" spans="1:25">
      <c r="A650" s="88"/>
      <c r="B650" s="69"/>
      <c r="C650" s="90"/>
      <c r="D650" s="69"/>
      <c r="E650" s="69"/>
      <c r="F650" s="69"/>
      <c r="G650" s="69"/>
      <c r="H650" s="70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</row>
    <row r="651" ht="15.75" customHeight="1" spans="1:25">
      <c r="A651" s="88"/>
      <c r="B651" s="69"/>
      <c r="C651" s="90"/>
      <c r="D651" s="69"/>
      <c r="E651" s="69"/>
      <c r="F651" s="69"/>
      <c r="G651" s="69"/>
      <c r="H651" s="70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</row>
    <row r="652" ht="15.75" customHeight="1" spans="1:25">
      <c r="A652" s="88"/>
      <c r="B652" s="69"/>
      <c r="C652" s="90"/>
      <c r="D652" s="69"/>
      <c r="E652" s="69"/>
      <c r="F652" s="69"/>
      <c r="G652" s="69"/>
      <c r="H652" s="70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</row>
    <row r="653" ht="15.75" customHeight="1" spans="1:25">
      <c r="A653" s="88"/>
      <c r="B653" s="69"/>
      <c r="C653" s="90"/>
      <c r="D653" s="69"/>
      <c r="E653" s="69"/>
      <c r="F653" s="69"/>
      <c r="G653" s="69"/>
      <c r="H653" s="70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</row>
    <row r="654" ht="15.75" customHeight="1" spans="1:25">
      <c r="A654" s="88"/>
      <c r="B654" s="69"/>
      <c r="C654" s="90"/>
      <c r="D654" s="69"/>
      <c r="E654" s="69"/>
      <c r="F654" s="69"/>
      <c r="G654" s="69"/>
      <c r="H654" s="70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</row>
    <row r="655" ht="15.75" customHeight="1" spans="1:25">
      <c r="A655" s="88"/>
      <c r="B655" s="69"/>
      <c r="C655" s="90"/>
      <c r="D655" s="69"/>
      <c r="E655" s="69"/>
      <c r="F655" s="69"/>
      <c r="G655" s="69"/>
      <c r="H655" s="70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</row>
    <row r="656" ht="15.75" customHeight="1" spans="1:25">
      <c r="A656" s="88"/>
      <c r="B656" s="69"/>
      <c r="C656" s="90"/>
      <c r="D656" s="69"/>
      <c r="E656" s="69"/>
      <c r="F656" s="69"/>
      <c r="G656" s="69"/>
      <c r="H656" s="70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</row>
    <row r="657" ht="15.75" customHeight="1" spans="1:25">
      <c r="A657" s="88"/>
      <c r="B657" s="69"/>
      <c r="C657" s="90"/>
      <c r="D657" s="69"/>
      <c r="E657" s="69"/>
      <c r="F657" s="69"/>
      <c r="G657" s="69"/>
      <c r="H657" s="70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</row>
    <row r="658" ht="15.75" customHeight="1" spans="1:25">
      <c r="A658" s="88"/>
      <c r="B658" s="69"/>
      <c r="C658" s="90"/>
      <c r="D658" s="69"/>
      <c r="E658" s="69"/>
      <c r="F658" s="69"/>
      <c r="G658" s="69"/>
      <c r="H658" s="70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</row>
    <row r="659" ht="15.75" customHeight="1" spans="1:25">
      <c r="A659" s="88"/>
      <c r="B659" s="69"/>
      <c r="C659" s="90"/>
      <c r="D659" s="69"/>
      <c r="E659" s="69"/>
      <c r="F659" s="69"/>
      <c r="G659" s="69"/>
      <c r="H659" s="70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</row>
    <row r="660" ht="15.75" customHeight="1" spans="1:25">
      <c r="A660" s="88"/>
      <c r="B660" s="69"/>
      <c r="C660" s="90"/>
      <c r="D660" s="69"/>
      <c r="E660" s="69"/>
      <c r="F660" s="69"/>
      <c r="G660" s="69"/>
      <c r="H660" s="70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</row>
    <row r="661" ht="15.75" customHeight="1" spans="1:25">
      <c r="A661" s="88"/>
      <c r="B661" s="69"/>
      <c r="C661" s="90"/>
      <c r="D661" s="69"/>
      <c r="E661" s="69"/>
      <c r="F661" s="69"/>
      <c r="G661" s="69"/>
      <c r="H661" s="70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</row>
    <row r="662" ht="15.75" customHeight="1" spans="1:25">
      <c r="A662" s="88"/>
      <c r="B662" s="69"/>
      <c r="C662" s="90"/>
      <c r="D662" s="69"/>
      <c r="E662" s="69"/>
      <c r="F662" s="69"/>
      <c r="G662" s="69"/>
      <c r="H662" s="70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</row>
    <row r="663" ht="15.75" customHeight="1" spans="1:25">
      <c r="A663" s="88"/>
      <c r="B663" s="69"/>
      <c r="C663" s="90"/>
      <c r="D663" s="69"/>
      <c r="E663" s="69"/>
      <c r="F663" s="69"/>
      <c r="G663" s="69"/>
      <c r="H663" s="70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</row>
    <row r="664" ht="15.75" customHeight="1" spans="1:25">
      <c r="A664" s="88"/>
      <c r="B664" s="69"/>
      <c r="C664" s="90"/>
      <c r="D664" s="69"/>
      <c r="E664" s="69"/>
      <c r="F664" s="69"/>
      <c r="G664" s="69"/>
      <c r="H664" s="70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</row>
    <row r="665" ht="15.75" customHeight="1" spans="1:25">
      <c r="A665" s="88"/>
      <c r="B665" s="69"/>
      <c r="C665" s="90"/>
      <c r="D665" s="69"/>
      <c r="E665" s="69"/>
      <c r="F665" s="69"/>
      <c r="G665" s="69"/>
      <c r="H665" s="70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</row>
    <row r="666" ht="15.75" customHeight="1" spans="1:25">
      <c r="A666" s="88"/>
      <c r="B666" s="69"/>
      <c r="C666" s="90"/>
      <c r="D666" s="69"/>
      <c r="E666" s="69"/>
      <c r="F666" s="69"/>
      <c r="G666" s="69"/>
      <c r="H666" s="70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</row>
    <row r="667" ht="15.75" customHeight="1" spans="1:25">
      <c r="A667" s="88"/>
      <c r="B667" s="69"/>
      <c r="C667" s="90"/>
      <c r="D667" s="69"/>
      <c r="E667" s="69"/>
      <c r="F667" s="69"/>
      <c r="G667" s="69"/>
      <c r="H667" s="70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</row>
    <row r="668" ht="15.75" customHeight="1" spans="1:25">
      <c r="A668" s="88"/>
      <c r="B668" s="69"/>
      <c r="C668" s="90"/>
      <c r="D668" s="69"/>
      <c r="E668" s="69"/>
      <c r="F668" s="69"/>
      <c r="G668" s="69"/>
      <c r="H668" s="70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</row>
    <row r="669" ht="15.75" customHeight="1" spans="1:25">
      <c r="A669" s="88"/>
      <c r="B669" s="69"/>
      <c r="C669" s="90"/>
      <c r="D669" s="69"/>
      <c r="E669" s="69"/>
      <c r="F669" s="69"/>
      <c r="G669" s="69"/>
      <c r="H669" s="70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</row>
    <row r="670" ht="15.75" customHeight="1" spans="1:25">
      <c r="A670" s="88"/>
      <c r="B670" s="69"/>
      <c r="C670" s="90"/>
      <c r="D670" s="69"/>
      <c r="E670" s="69"/>
      <c r="F670" s="69"/>
      <c r="G670" s="69"/>
      <c r="H670" s="70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</row>
    <row r="671" ht="15.75" customHeight="1" spans="1:25">
      <c r="A671" s="88"/>
      <c r="B671" s="69"/>
      <c r="C671" s="90"/>
      <c r="D671" s="69"/>
      <c r="E671" s="69"/>
      <c r="F671" s="69"/>
      <c r="G671" s="69"/>
      <c r="H671" s="70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</row>
    <row r="672" ht="15.75" customHeight="1" spans="1:25">
      <c r="A672" s="88"/>
      <c r="B672" s="69"/>
      <c r="C672" s="90"/>
      <c r="D672" s="69"/>
      <c r="E672" s="69"/>
      <c r="F672" s="69"/>
      <c r="G672" s="69"/>
      <c r="H672" s="70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</row>
    <row r="673" ht="15.75" customHeight="1" spans="1:25">
      <c r="A673" s="88"/>
      <c r="B673" s="69"/>
      <c r="C673" s="90"/>
      <c r="D673" s="69"/>
      <c r="E673" s="69"/>
      <c r="F673" s="69"/>
      <c r="G673" s="69"/>
      <c r="H673" s="70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</row>
    <row r="674" ht="15.75" customHeight="1" spans="1:25">
      <c r="A674" s="88"/>
      <c r="B674" s="69"/>
      <c r="C674" s="90"/>
      <c r="D674" s="69"/>
      <c r="E674" s="69"/>
      <c r="F674" s="69"/>
      <c r="G674" s="69"/>
      <c r="H674" s="70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</row>
    <row r="675" ht="15.75" customHeight="1" spans="1:25">
      <c r="A675" s="88"/>
      <c r="B675" s="69"/>
      <c r="C675" s="90"/>
      <c r="D675" s="69"/>
      <c r="E675" s="69"/>
      <c r="F675" s="69"/>
      <c r="G675" s="69"/>
      <c r="H675" s="70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</row>
    <row r="676" ht="15.75" customHeight="1" spans="1:25">
      <c r="A676" s="88"/>
      <c r="B676" s="69"/>
      <c r="C676" s="90"/>
      <c r="D676" s="69"/>
      <c r="E676" s="69"/>
      <c r="F676" s="69"/>
      <c r="G676" s="69"/>
      <c r="H676" s="70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</row>
    <row r="677" ht="15.75" customHeight="1" spans="1:25">
      <c r="A677" s="88"/>
      <c r="B677" s="69"/>
      <c r="C677" s="90"/>
      <c r="D677" s="69"/>
      <c r="E677" s="69"/>
      <c r="F677" s="69"/>
      <c r="G677" s="69"/>
      <c r="H677" s="70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</row>
    <row r="678" ht="15.75" customHeight="1" spans="1:25">
      <c r="A678" s="88"/>
      <c r="B678" s="69"/>
      <c r="C678" s="90"/>
      <c r="D678" s="69"/>
      <c r="E678" s="69"/>
      <c r="F678" s="69"/>
      <c r="G678" s="69"/>
      <c r="H678" s="70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</row>
    <row r="679" ht="15.75" customHeight="1" spans="1:25">
      <c r="A679" s="88"/>
      <c r="B679" s="69"/>
      <c r="C679" s="90"/>
      <c r="D679" s="69"/>
      <c r="E679" s="69"/>
      <c r="F679" s="69"/>
      <c r="G679" s="69"/>
      <c r="H679" s="70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</row>
    <row r="680" ht="15.75" customHeight="1" spans="1:25">
      <c r="A680" s="88"/>
      <c r="B680" s="69"/>
      <c r="C680" s="90"/>
      <c r="D680" s="69"/>
      <c r="E680" s="69"/>
      <c r="F680" s="69"/>
      <c r="G680" s="69"/>
      <c r="H680" s="70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</row>
    <row r="681" ht="15.75" customHeight="1" spans="1:25">
      <c r="A681" s="88"/>
      <c r="B681" s="69"/>
      <c r="C681" s="90"/>
      <c r="D681" s="69"/>
      <c r="E681" s="69"/>
      <c r="F681" s="69"/>
      <c r="G681" s="69"/>
      <c r="H681" s="70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</row>
    <row r="682" ht="15.75" customHeight="1" spans="1:25">
      <c r="A682" s="88"/>
      <c r="B682" s="69"/>
      <c r="C682" s="90"/>
      <c r="D682" s="69"/>
      <c r="E682" s="69"/>
      <c r="F682" s="69"/>
      <c r="G682" s="69"/>
      <c r="H682" s="70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</row>
    <row r="683" ht="15.75" customHeight="1" spans="1:25">
      <c r="A683" s="88"/>
      <c r="B683" s="69"/>
      <c r="C683" s="90"/>
      <c r="D683" s="69"/>
      <c r="E683" s="69"/>
      <c r="F683" s="69"/>
      <c r="G683" s="69"/>
      <c r="H683" s="70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</row>
    <row r="684" ht="15.75" customHeight="1" spans="1:25">
      <c r="A684" s="88"/>
      <c r="B684" s="69"/>
      <c r="C684" s="90"/>
      <c r="D684" s="69"/>
      <c r="E684" s="69"/>
      <c r="F684" s="69"/>
      <c r="G684" s="69"/>
      <c r="H684" s="70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</row>
    <row r="685" ht="15.75" customHeight="1" spans="1:25">
      <c r="A685" s="88"/>
      <c r="B685" s="69"/>
      <c r="C685" s="90"/>
      <c r="D685" s="69"/>
      <c r="E685" s="69"/>
      <c r="F685" s="69"/>
      <c r="G685" s="69"/>
      <c r="H685" s="70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</row>
    <row r="686" ht="15.75" customHeight="1" spans="1:25">
      <c r="A686" s="88"/>
      <c r="B686" s="69"/>
      <c r="C686" s="90"/>
      <c r="D686" s="69"/>
      <c r="E686" s="69"/>
      <c r="F686" s="69"/>
      <c r="G686" s="69"/>
      <c r="H686" s="70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</row>
    <row r="687" ht="15.75" customHeight="1" spans="1:25">
      <c r="A687" s="88"/>
      <c r="B687" s="69"/>
      <c r="C687" s="90"/>
      <c r="D687" s="69"/>
      <c r="E687" s="69"/>
      <c r="F687" s="69"/>
      <c r="G687" s="69"/>
      <c r="H687" s="70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</row>
    <row r="688" ht="15.75" customHeight="1" spans="1:25">
      <c r="A688" s="88"/>
      <c r="B688" s="69"/>
      <c r="C688" s="90"/>
      <c r="D688" s="69"/>
      <c r="E688" s="69"/>
      <c r="F688" s="69"/>
      <c r="G688" s="69"/>
      <c r="H688" s="70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</row>
    <row r="689" ht="15.75" customHeight="1" spans="1:25">
      <c r="A689" s="88"/>
      <c r="B689" s="69"/>
      <c r="C689" s="90"/>
      <c r="D689" s="69"/>
      <c r="E689" s="69"/>
      <c r="F689" s="69"/>
      <c r="G689" s="69"/>
      <c r="H689" s="70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</row>
    <row r="690" ht="15.75" customHeight="1" spans="1:25">
      <c r="A690" s="88"/>
      <c r="B690" s="69"/>
      <c r="C690" s="90"/>
      <c r="D690" s="69"/>
      <c r="E690" s="69"/>
      <c r="F690" s="69"/>
      <c r="G690" s="69"/>
      <c r="H690" s="70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</row>
    <row r="691" ht="15.75" customHeight="1" spans="1:25">
      <c r="A691" s="88"/>
      <c r="B691" s="69"/>
      <c r="C691" s="90"/>
      <c r="D691" s="69"/>
      <c r="E691" s="69"/>
      <c r="F691" s="69"/>
      <c r="G691" s="69"/>
      <c r="H691" s="70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</row>
    <row r="692" ht="15.75" customHeight="1" spans="1:25">
      <c r="A692" s="88"/>
      <c r="B692" s="69"/>
      <c r="C692" s="90"/>
      <c r="D692" s="69"/>
      <c r="E692" s="69"/>
      <c r="F692" s="69"/>
      <c r="G692" s="69"/>
      <c r="H692" s="70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</row>
    <row r="693" ht="15.75" customHeight="1" spans="1:25">
      <c r="A693" s="88"/>
      <c r="B693" s="69"/>
      <c r="C693" s="90"/>
      <c r="D693" s="69"/>
      <c r="E693" s="69"/>
      <c r="F693" s="69"/>
      <c r="G693" s="69"/>
      <c r="H693" s="70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</row>
    <row r="694" ht="15.75" customHeight="1" spans="1:25">
      <c r="A694" s="88"/>
      <c r="B694" s="69"/>
      <c r="C694" s="90"/>
      <c r="D694" s="69"/>
      <c r="E694" s="69"/>
      <c r="F694" s="69"/>
      <c r="G694" s="69"/>
      <c r="H694" s="70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</row>
    <row r="695" ht="15.75" customHeight="1" spans="1:25">
      <c r="A695" s="88"/>
      <c r="B695" s="69"/>
      <c r="C695" s="90"/>
      <c r="D695" s="69"/>
      <c r="E695" s="69"/>
      <c r="F695" s="69"/>
      <c r="G695" s="69"/>
      <c r="H695" s="70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</row>
    <row r="696" ht="15.75" customHeight="1" spans="1:25">
      <c r="A696" s="88"/>
      <c r="B696" s="69"/>
      <c r="C696" s="90"/>
      <c r="D696" s="69"/>
      <c r="E696" s="69"/>
      <c r="F696" s="69"/>
      <c r="G696" s="69"/>
      <c r="H696" s="70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</row>
    <row r="697" ht="15.75" customHeight="1" spans="1:25">
      <c r="A697" s="88"/>
      <c r="B697" s="69"/>
      <c r="C697" s="90"/>
      <c r="D697" s="69"/>
      <c r="E697" s="69"/>
      <c r="F697" s="69"/>
      <c r="G697" s="69"/>
      <c r="H697" s="70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</row>
    <row r="698" ht="15.75" customHeight="1" spans="1:25">
      <c r="A698" s="88"/>
      <c r="B698" s="69"/>
      <c r="C698" s="90"/>
      <c r="D698" s="69"/>
      <c r="E698" s="69"/>
      <c r="F698" s="69"/>
      <c r="G698" s="69"/>
      <c r="H698" s="70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</row>
    <row r="699" ht="15.75" customHeight="1" spans="1:25">
      <c r="A699" s="88"/>
      <c r="B699" s="69"/>
      <c r="C699" s="90"/>
      <c r="D699" s="69"/>
      <c r="E699" s="69"/>
      <c r="F699" s="69"/>
      <c r="G699" s="69"/>
      <c r="H699" s="70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</row>
    <row r="700" ht="15.75" customHeight="1" spans="1:25">
      <c r="A700" s="88"/>
      <c r="B700" s="69"/>
      <c r="C700" s="90"/>
      <c r="D700" s="69"/>
      <c r="E700" s="69"/>
      <c r="F700" s="69"/>
      <c r="G700" s="69"/>
      <c r="H700" s="70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</row>
    <row r="701" ht="15.75" customHeight="1" spans="1:25">
      <c r="A701" s="88"/>
      <c r="B701" s="69"/>
      <c r="C701" s="90"/>
      <c r="D701" s="69"/>
      <c r="E701" s="69"/>
      <c r="F701" s="69"/>
      <c r="G701" s="69"/>
      <c r="H701" s="70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</row>
    <row r="702" ht="15.75" customHeight="1" spans="1:25">
      <c r="A702" s="88"/>
      <c r="B702" s="69"/>
      <c r="C702" s="90"/>
      <c r="D702" s="69"/>
      <c r="E702" s="69"/>
      <c r="F702" s="69"/>
      <c r="G702" s="69"/>
      <c r="H702" s="70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</row>
    <row r="703" ht="15.75" customHeight="1" spans="1:25">
      <c r="A703" s="88"/>
      <c r="B703" s="69"/>
      <c r="C703" s="90"/>
      <c r="D703" s="69"/>
      <c r="E703" s="69"/>
      <c r="F703" s="69"/>
      <c r="G703" s="69"/>
      <c r="H703" s="70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</row>
    <row r="704" ht="15.75" customHeight="1" spans="1:25">
      <c r="A704" s="88"/>
      <c r="B704" s="69"/>
      <c r="C704" s="90"/>
      <c r="D704" s="69"/>
      <c r="E704" s="69"/>
      <c r="F704" s="69"/>
      <c r="G704" s="69"/>
      <c r="H704" s="70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</row>
    <row r="705" ht="15.75" customHeight="1" spans="1:25">
      <c r="A705" s="88"/>
      <c r="B705" s="69"/>
      <c r="C705" s="90"/>
      <c r="D705" s="69"/>
      <c r="E705" s="69"/>
      <c r="F705" s="69"/>
      <c r="G705" s="69"/>
      <c r="H705" s="70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</row>
    <row r="706" ht="15.75" customHeight="1" spans="1:25">
      <c r="A706" s="88"/>
      <c r="B706" s="69"/>
      <c r="C706" s="90"/>
      <c r="D706" s="69"/>
      <c r="E706" s="69"/>
      <c r="F706" s="69"/>
      <c r="G706" s="69"/>
      <c r="H706" s="70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</row>
    <row r="707" ht="15.75" customHeight="1" spans="1:25">
      <c r="A707" s="88"/>
      <c r="B707" s="69"/>
      <c r="C707" s="90"/>
      <c r="D707" s="69"/>
      <c r="E707" s="69"/>
      <c r="F707" s="69"/>
      <c r="G707" s="69"/>
      <c r="H707" s="70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</row>
    <row r="708" ht="15.75" customHeight="1" spans="1:25">
      <c r="A708" s="88"/>
      <c r="B708" s="69"/>
      <c r="C708" s="90"/>
      <c r="D708" s="69"/>
      <c r="E708" s="69"/>
      <c r="F708" s="69"/>
      <c r="G708" s="69"/>
      <c r="H708" s="70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</row>
    <row r="709" ht="15.75" customHeight="1" spans="1:25">
      <c r="A709" s="88"/>
      <c r="B709" s="69"/>
      <c r="C709" s="90"/>
      <c r="D709" s="69"/>
      <c r="E709" s="69"/>
      <c r="F709" s="69"/>
      <c r="G709" s="69"/>
      <c r="H709" s="70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</row>
    <row r="710" ht="15.75" customHeight="1" spans="1:25">
      <c r="A710" s="88"/>
      <c r="B710" s="69"/>
      <c r="C710" s="90"/>
      <c r="D710" s="69"/>
      <c r="E710" s="69"/>
      <c r="F710" s="69"/>
      <c r="G710" s="69"/>
      <c r="H710" s="70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</row>
    <row r="711" ht="15.75" customHeight="1" spans="1:25">
      <c r="A711" s="88"/>
      <c r="B711" s="69"/>
      <c r="C711" s="90"/>
      <c r="D711" s="69"/>
      <c r="E711" s="69"/>
      <c r="F711" s="69"/>
      <c r="G711" s="69"/>
      <c r="H711" s="70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</row>
    <row r="712" ht="15.75" customHeight="1" spans="1:25">
      <c r="A712" s="88"/>
      <c r="B712" s="69"/>
      <c r="C712" s="90"/>
      <c r="D712" s="69"/>
      <c r="E712" s="69"/>
      <c r="F712" s="69"/>
      <c r="G712" s="69"/>
      <c r="H712" s="70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</row>
    <row r="713" ht="15.75" customHeight="1" spans="1:25">
      <c r="A713" s="88"/>
      <c r="B713" s="69"/>
      <c r="C713" s="90"/>
      <c r="D713" s="69"/>
      <c r="E713" s="69"/>
      <c r="F713" s="69"/>
      <c r="G713" s="69"/>
      <c r="H713" s="70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</row>
    <row r="714" ht="15.75" customHeight="1" spans="1:25">
      <c r="A714" s="88"/>
      <c r="B714" s="69"/>
      <c r="C714" s="90"/>
      <c r="D714" s="69"/>
      <c r="E714" s="69"/>
      <c r="F714" s="69"/>
      <c r="G714" s="69"/>
      <c r="H714" s="70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</row>
    <row r="715" ht="15.75" customHeight="1" spans="1:25">
      <c r="A715" s="88"/>
      <c r="B715" s="69"/>
      <c r="C715" s="90"/>
      <c r="D715" s="69"/>
      <c r="E715" s="69"/>
      <c r="F715" s="69"/>
      <c r="G715" s="69"/>
      <c r="H715" s="70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</row>
    <row r="716" ht="15.75" customHeight="1" spans="1:25">
      <c r="A716" s="88"/>
      <c r="B716" s="69"/>
      <c r="C716" s="90"/>
      <c r="D716" s="69"/>
      <c r="E716" s="69"/>
      <c r="F716" s="69"/>
      <c r="G716" s="69"/>
      <c r="H716" s="70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</row>
    <row r="717" ht="15.75" customHeight="1" spans="1:25">
      <c r="A717" s="88"/>
      <c r="B717" s="69"/>
      <c r="C717" s="90"/>
      <c r="D717" s="69"/>
      <c r="E717" s="69"/>
      <c r="F717" s="69"/>
      <c r="G717" s="69"/>
      <c r="H717" s="70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</row>
    <row r="718" ht="15.75" customHeight="1" spans="1:25">
      <c r="A718" s="88"/>
      <c r="B718" s="69"/>
      <c r="C718" s="90"/>
      <c r="D718" s="69"/>
      <c r="E718" s="69"/>
      <c r="F718" s="69"/>
      <c r="G718" s="69"/>
      <c r="H718" s="70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</row>
    <row r="719" ht="15.75" customHeight="1" spans="1:25">
      <c r="A719" s="88"/>
      <c r="B719" s="69"/>
      <c r="C719" s="90"/>
      <c r="D719" s="69"/>
      <c r="E719" s="69"/>
      <c r="F719" s="69"/>
      <c r="G719" s="69"/>
      <c r="H719" s="70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</row>
    <row r="720" ht="15.75" customHeight="1" spans="1:25">
      <c r="A720" s="88"/>
      <c r="B720" s="69"/>
      <c r="C720" s="90"/>
      <c r="D720" s="69"/>
      <c r="E720" s="69"/>
      <c r="F720" s="69"/>
      <c r="G720" s="69"/>
      <c r="H720" s="70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</row>
    <row r="721" ht="15.75" customHeight="1" spans="1:25">
      <c r="A721" s="88"/>
      <c r="B721" s="69"/>
      <c r="C721" s="90"/>
      <c r="D721" s="69"/>
      <c r="E721" s="69"/>
      <c r="F721" s="69"/>
      <c r="G721" s="69"/>
      <c r="H721" s="70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</row>
    <row r="722" ht="15.75" customHeight="1" spans="1:25">
      <c r="A722" s="88"/>
      <c r="B722" s="69"/>
      <c r="C722" s="90"/>
      <c r="D722" s="69"/>
      <c r="E722" s="69"/>
      <c r="F722" s="69"/>
      <c r="G722" s="69"/>
      <c r="H722" s="70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</row>
    <row r="723" ht="15.75" customHeight="1" spans="1:25">
      <c r="A723" s="88"/>
      <c r="B723" s="69"/>
      <c r="C723" s="90"/>
      <c r="D723" s="69"/>
      <c r="E723" s="69"/>
      <c r="F723" s="69"/>
      <c r="G723" s="69"/>
      <c r="H723" s="70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</row>
    <row r="724" ht="15.75" customHeight="1" spans="1:25">
      <c r="A724" s="88"/>
      <c r="B724" s="69"/>
      <c r="C724" s="90"/>
      <c r="D724" s="69"/>
      <c r="E724" s="69"/>
      <c r="F724" s="69"/>
      <c r="G724" s="69"/>
      <c r="H724" s="70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</row>
    <row r="725" ht="15.75" customHeight="1" spans="1:25">
      <c r="A725" s="88"/>
      <c r="B725" s="69"/>
      <c r="C725" s="90"/>
      <c r="D725" s="69"/>
      <c r="E725" s="69"/>
      <c r="F725" s="69"/>
      <c r="G725" s="69"/>
      <c r="H725" s="70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</row>
    <row r="726" ht="15.75" customHeight="1" spans="1:25">
      <c r="A726" s="88"/>
      <c r="B726" s="69"/>
      <c r="C726" s="90"/>
      <c r="D726" s="69"/>
      <c r="E726" s="69"/>
      <c r="F726" s="69"/>
      <c r="G726" s="69"/>
      <c r="H726" s="70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</row>
    <row r="727" ht="15.75" customHeight="1" spans="1:25">
      <c r="A727" s="88"/>
      <c r="B727" s="69"/>
      <c r="C727" s="90"/>
      <c r="D727" s="69"/>
      <c r="E727" s="69"/>
      <c r="F727" s="69"/>
      <c r="G727" s="69"/>
      <c r="H727" s="70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</row>
    <row r="728" ht="15.75" customHeight="1" spans="1:25">
      <c r="A728" s="88"/>
      <c r="B728" s="69"/>
      <c r="C728" s="90"/>
      <c r="D728" s="69"/>
      <c r="E728" s="69"/>
      <c r="F728" s="69"/>
      <c r="G728" s="69"/>
      <c r="H728" s="70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</row>
    <row r="729" ht="15.75" customHeight="1" spans="1:25">
      <c r="A729" s="88"/>
      <c r="B729" s="69"/>
      <c r="C729" s="90"/>
      <c r="D729" s="69"/>
      <c r="E729" s="69"/>
      <c r="F729" s="69"/>
      <c r="G729" s="69"/>
      <c r="H729" s="70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</row>
    <row r="730" ht="15.75" customHeight="1" spans="1:25">
      <c r="A730" s="88"/>
      <c r="B730" s="69"/>
      <c r="C730" s="90"/>
      <c r="D730" s="69"/>
      <c r="E730" s="69"/>
      <c r="F730" s="69"/>
      <c r="G730" s="69"/>
      <c r="H730" s="70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</row>
    <row r="731" ht="15.75" customHeight="1" spans="1:25">
      <c r="A731" s="88"/>
      <c r="B731" s="69"/>
      <c r="C731" s="90"/>
      <c r="D731" s="69"/>
      <c r="E731" s="69"/>
      <c r="F731" s="69"/>
      <c r="G731" s="69"/>
      <c r="H731" s="70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</row>
    <row r="732" ht="15.75" customHeight="1" spans="1:25">
      <c r="A732" s="88"/>
      <c r="B732" s="69"/>
      <c r="C732" s="90"/>
      <c r="D732" s="69"/>
      <c r="E732" s="69"/>
      <c r="F732" s="69"/>
      <c r="G732" s="69"/>
      <c r="H732" s="70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</row>
    <row r="733" ht="15.75" customHeight="1" spans="1:25">
      <c r="A733" s="88"/>
      <c r="B733" s="69"/>
      <c r="C733" s="90"/>
      <c r="D733" s="69"/>
      <c r="E733" s="69"/>
      <c r="F733" s="69"/>
      <c r="G733" s="69"/>
      <c r="H733" s="70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</row>
    <row r="734" ht="15.75" customHeight="1" spans="1:25">
      <c r="A734" s="88"/>
      <c r="B734" s="69"/>
      <c r="C734" s="90"/>
      <c r="D734" s="69"/>
      <c r="E734" s="69"/>
      <c r="F734" s="69"/>
      <c r="G734" s="69"/>
      <c r="H734" s="70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</row>
    <row r="735" ht="15.75" customHeight="1" spans="1:25">
      <c r="A735" s="88"/>
      <c r="B735" s="69"/>
      <c r="C735" s="90"/>
      <c r="D735" s="69"/>
      <c r="E735" s="69"/>
      <c r="F735" s="69"/>
      <c r="G735" s="69"/>
      <c r="H735" s="70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</row>
    <row r="736" ht="15.75" customHeight="1" spans="1:25">
      <c r="A736" s="88"/>
      <c r="B736" s="69"/>
      <c r="C736" s="90"/>
      <c r="D736" s="69"/>
      <c r="E736" s="69"/>
      <c r="F736" s="69"/>
      <c r="G736" s="69"/>
      <c r="H736" s="70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</row>
    <row r="737" ht="15.75" customHeight="1" spans="1:25">
      <c r="A737" s="88"/>
      <c r="B737" s="69"/>
      <c r="C737" s="90"/>
      <c r="D737" s="69"/>
      <c r="E737" s="69"/>
      <c r="F737" s="69"/>
      <c r="G737" s="69"/>
      <c r="H737" s="70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</row>
    <row r="738" ht="15.75" customHeight="1" spans="1:25">
      <c r="A738" s="88"/>
      <c r="B738" s="69"/>
      <c r="C738" s="90"/>
      <c r="D738" s="69"/>
      <c r="E738" s="69"/>
      <c r="F738" s="69"/>
      <c r="G738" s="69"/>
      <c r="H738" s="70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</row>
    <row r="739" ht="15.75" customHeight="1" spans="1:25">
      <c r="A739" s="88"/>
      <c r="B739" s="69"/>
      <c r="C739" s="90"/>
      <c r="D739" s="69"/>
      <c r="E739" s="69"/>
      <c r="F739" s="69"/>
      <c r="G739" s="69"/>
      <c r="H739" s="70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</row>
    <row r="740" ht="15.75" customHeight="1" spans="1:25">
      <c r="A740" s="88"/>
      <c r="B740" s="69"/>
      <c r="C740" s="90"/>
      <c r="D740" s="69"/>
      <c r="E740" s="69"/>
      <c r="F740" s="69"/>
      <c r="G740" s="69"/>
      <c r="H740" s="70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</row>
    <row r="741" ht="15.75" customHeight="1" spans="1:25">
      <c r="A741" s="88"/>
      <c r="B741" s="69"/>
      <c r="C741" s="90"/>
      <c r="D741" s="69"/>
      <c r="E741" s="69"/>
      <c r="F741" s="69"/>
      <c r="G741" s="69"/>
      <c r="H741" s="70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</row>
    <row r="742" ht="15.75" customHeight="1" spans="1:25">
      <c r="A742" s="88"/>
      <c r="B742" s="69"/>
      <c r="C742" s="90"/>
      <c r="D742" s="69"/>
      <c r="E742" s="69"/>
      <c r="F742" s="69"/>
      <c r="G742" s="69"/>
      <c r="H742" s="70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</row>
    <row r="743" ht="15.75" customHeight="1" spans="1:25">
      <c r="A743" s="88"/>
      <c r="B743" s="69"/>
      <c r="C743" s="90"/>
      <c r="D743" s="69"/>
      <c r="E743" s="69"/>
      <c r="F743" s="69"/>
      <c r="G743" s="69"/>
      <c r="H743" s="70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</row>
    <row r="744" ht="15.75" customHeight="1" spans="1:25">
      <c r="A744" s="88"/>
      <c r="B744" s="69"/>
      <c r="C744" s="90"/>
      <c r="D744" s="69"/>
      <c r="E744" s="69"/>
      <c r="F744" s="69"/>
      <c r="G744" s="69"/>
      <c r="H744" s="70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</row>
    <row r="745" ht="15.75" customHeight="1" spans="1:25">
      <c r="A745" s="88"/>
      <c r="B745" s="69"/>
      <c r="C745" s="90"/>
      <c r="D745" s="69"/>
      <c r="E745" s="69"/>
      <c r="F745" s="69"/>
      <c r="G745" s="69"/>
      <c r="H745" s="70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</row>
    <row r="746" ht="15.75" customHeight="1" spans="1:25">
      <c r="A746" s="88"/>
      <c r="B746" s="69"/>
      <c r="C746" s="90"/>
      <c r="D746" s="69"/>
      <c r="E746" s="69"/>
      <c r="F746" s="69"/>
      <c r="G746" s="69"/>
      <c r="H746" s="70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</row>
    <row r="747" ht="15.75" customHeight="1" spans="1:25">
      <c r="A747" s="88"/>
      <c r="B747" s="69"/>
      <c r="C747" s="90"/>
      <c r="D747" s="69"/>
      <c r="E747" s="69"/>
      <c r="F747" s="69"/>
      <c r="G747" s="69"/>
      <c r="H747" s="70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</row>
    <row r="748" ht="15.75" customHeight="1" spans="1:25">
      <c r="A748" s="88"/>
      <c r="B748" s="69"/>
      <c r="C748" s="90"/>
      <c r="D748" s="69"/>
      <c r="E748" s="69"/>
      <c r="F748" s="69"/>
      <c r="G748" s="69"/>
      <c r="H748" s="70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</row>
    <row r="749" ht="15.75" customHeight="1" spans="1:25">
      <c r="A749" s="88"/>
      <c r="B749" s="69"/>
      <c r="C749" s="90"/>
      <c r="D749" s="69"/>
      <c r="E749" s="69"/>
      <c r="F749" s="69"/>
      <c r="G749" s="69"/>
      <c r="H749" s="70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</row>
    <row r="750" ht="15.75" customHeight="1" spans="1:25">
      <c r="A750" s="88"/>
      <c r="B750" s="69"/>
      <c r="C750" s="90"/>
      <c r="D750" s="69"/>
      <c r="E750" s="69"/>
      <c r="F750" s="69"/>
      <c r="G750" s="69"/>
      <c r="H750" s="70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</row>
    <row r="751" ht="15.75" customHeight="1" spans="1:25">
      <c r="A751" s="88"/>
      <c r="B751" s="69"/>
      <c r="C751" s="90"/>
      <c r="D751" s="69"/>
      <c r="E751" s="69"/>
      <c r="F751" s="69"/>
      <c r="G751" s="69"/>
      <c r="H751" s="70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</row>
    <row r="752" ht="15.75" customHeight="1" spans="1:25">
      <c r="A752" s="88"/>
      <c r="B752" s="69"/>
      <c r="C752" s="90"/>
      <c r="D752" s="69"/>
      <c r="E752" s="69"/>
      <c r="F752" s="69"/>
      <c r="G752" s="69"/>
      <c r="H752" s="70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</row>
    <row r="753" ht="15.75" customHeight="1" spans="1:25">
      <c r="A753" s="88"/>
      <c r="B753" s="69"/>
      <c r="C753" s="90"/>
      <c r="D753" s="69"/>
      <c r="E753" s="69"/>
      <c r="F753" s="69"/>
      <c r="G753" s="69"/>
      <c r="H753" s="70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</row>
    <row r="754" ht="15.75" customHeight="1" spans="1:25">
      <c r="A754" s="88"/>
      <c r="B754" s="69"/>
      <c r="C754" s="90"/>
      <c r="D754" s="69"/>
      <c r="E754" s="69"/>
      <c r="F754" s="69"/>
      <c r="G754" s="69"/>
      <c r="H754" s="70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</row>
    <row r="755" ht="15.75" customHeight="1" spans="1:25">
      <c r="A755" s="88"/>
      <c r="B755" s="69"/>
      <c r="C755" s="90"/>
      <c r="D755" s="69"/>
      <c r="E755" s="69"/>
      <c r="F755" s="69"/>
      <c r="G755" s="69"/>
      <c r="H755" s="70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</row>
    <row r="756" ht="15.75" customHeight="1" spans="1:25">
      <c r="A756" s="88"/>
      <c r="B756" s="69"/>
      <c r="C756" s="90"/>
      <c r="D756" s="69"/>
      <c r="E756" s="69"/>
      <c r="F756" s="69"/>
      <c r="G756" s="69"/>
      <c r="H756" s="70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</row>
    <row r="757" ht="15.75" customHeight="1" spans="1:25">
      <c r="A757" s="88"/>
      <c r="B757" s="69"/>
      <c r="C757" s="90"/>
      <c r="D757" s="69"/>
      <c r="E757" s="69"/>
      <c r="F757" s="69"/>
      <c r="G757" s="69"/>
      <c r="H757" s="70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</row>
    <row r="758" ht="15.75" customHeight="1" spans="1:25">
      <c r="A758" s="88"/>
      <c r="B758" s="69"/>
      <c r="C758" s="90"/>
      <c r="D758" s="69"/>
      <c r="E758" s="69"/>
      <c r="F758" s="69"/>
      <c r="G758" s="69"/>
      <c r="H758" s="70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</row>
    <row r="759" ht="15.75" customHeight="1" spans="1:25">
      <c r="A759" s="88"/>
      <c r="B759" s="69"/>
      <c r="C759" s="90"/>
      <c r="D759" s="69"/>
      <c r="E759" s="69"/>
      <c r="F759" s="69"/>
      <c r="G759" s="69"/>
      <c r="H759" s="70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</row>
    <row r="760" ht="15.75" customHeight="1" spans="1:25">
      <c r="A760" s="88"/>
      <c r="B760" s="69"/>
      <c r="C760" s="90"/>
      <c r="D760" s="69"/>
      <c r="E760" s="69"/>
      <c r="F760" s="69"/>
      <c r="G760" s="69"/>
      <c r="H760" s="70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</row>
    <row r="761" ht="15.75" customHeight="1" spans="1:25">
      <c r="A761" s="88"/>
      <c r="B761" s="69"/>
      <c r="C761" s="90"/>
      <c r="D761" s="69"/>
      <c r="E761" s="69"/>
      <c r="F761" s="69"/>
      <c r="G761" s="69"/>
      <c r="H761" s="70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</row>
    <row r="762" ht="15.75" customHeight="1" spans="1:25">
      <c r="A762" s="88"/>
      <c r="B762" s="69"/>
      <c r="C762" s="90"/>
      <c r="D762" s="69"/>
      <c r="E762" s="69"/>
      <c r="F762" s="69"/>
      <c r="G762" s="69"/>
      <c r="H762" s="70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</row>
    <row r="763" ht="15.75" customHeight="1" spans="1:25">
      <c r="A763" s="88"/>
      <c r="B763" s="69"/>
      <c r="C763" s="90"/>
      <c r="D763" s="69"/>
      <c r="E763" s="69"/>
      <c r="F763" s="69"/>
      <c r="G763" s="69"/>
      <c r="H763" s="70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</row>
    <row r="764" ht="15.75" customHeight="1" spans="1:25">
      <c r="A764" s="88"/>
      <c r="B764" s="69"/>
      <c r="C764" s="90"/>
      <c r="D764" s="69"/>
      <c r="E764" s="69"/>
      <c r="F764" s="69"/>
      <c r="G764" s="69"/>
      <c r="H764" s="70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</row>
    <row r="765" ht="15.75" customHeight="1" spans="1:25">
      <c r="A765" s="88"/>
      <c r="B765" s="69"/>
      <c r="C765" s="90"/>
      <c r="D765" s="69"/>
      <c r="E765" s="69"/>
      <c r="F765" s="69"/>
      <c r="G765" s="69"/>
      <c r="H765" s="70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</row>
    <row r="766" ht="15.75" customHeight="1" spans="1:25">
      <c r="A766" s="88"/>
      <c r="B766" s="69"/>
      <c r="C766" s="90"/>
      <c r="D766" s="69"/>
      <c r="E766" s="69"/>
      <c r="F766" s="69"/>
      <c r="G766" s="69"/>
      <c r="H766" s="70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</row>
    <row r="767" ht="15.75" customHeight="1" spans="1:25">
      <c r="A767" s="88"/>
      <c r="B767" s="69"/>
      <c r="C767" s="90"/>
      <c r="D767" s="69"/>
      <c r="E767" s="69"/>
      <c r="F767" s="69"/>
      <c r="G767" s="69"/>
      <c r="H767" s="70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</row>
    <row r="768" ht="15.75" customHeight="1" spans="1:25">
      <c r="A768" s="88"/>
      <c r="B768" s="69"/>
      <c r="C768" s="90"/>
      <c r="D768" s="69"/>
      <c r="E768" s="69"/>
      <c r="F768" s="69"/>
      <c r="G768" s="69"/>
      <c r="H768" s="70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</row>
    <row r="769" ht="15.75" customHeight="1" spans="1:25">
      <c r="A769" s="88"/>
      <c r="B769" s="69"/>
      <c r="C769" s="90"/>
      <c r="D769" s="69"/>
      <c r="E769" s="69"/>
      <c r="F769" s="69"/>
      <c r="G769" s="69"/>
      <c r="H769" s="70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</row>
    <row r="770" ht="15.75" customHeight="1" spans="1:25">
      <c r="A770" s="88"/>
      <c r="B770" s="69"/>
      <c r="C770" s="90"/>
      <c r="D770" s="69"/>
      <c r="E770" s="69"/>
      <c r="F770" s="69"/>
      <c r="G770" s="69"/>
      <c r="H770" s="70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</row>
    <row r="771" ht="15.75" customHeight="1" spans="1:25">
      <c r="A771" s="88"/>
      <c r="B771" s="69"/>
      <c r="C771" s="90"/>
      <c r="D771" s="69"/>
      <c r="E771" s="69"/>
      <c r="F771" s="69"/>
      <c r="G771" s="69"/>
      <c r="H771" s="70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</row>
    <row r="772" ht="15.75" customHeight="1" spans="1:25">
      <c r="A772" s="88"/>
      <c r="B772" s="69"/>
      <c r="C772" s="90"/>
      <c r="D772" s="69"/>
      <c r="E772" s="69"/>
      <c r="F772" s="69"/>
      <c r="G772" s="69"/>
      <c r="H772" s="70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</row>
    <row r="773" ht="15.75" customHeight="1" spans="1:25">
      <c r="A773" s="88"/>
      <c r="B773" s="69"/>
      <c r="C773" s="90"/>
      <c r="D773" s="69"/>
      <c r="E773" s="69"/>
      <c r="F773" s="69"/>
      <c r="G773" s="69"/>
      <c r="H773" s="70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</row>
    <row r="774" ht="15.75" customHeight="1" spans="1:25">
      <c r="A774" s="88"/>
      <c r="B774" s="69"/>
      <c r="C774" s="90"/>
      <c r="D774" s="69"/>
      <c r="E774" s="69"/>
      <c r="F774" s="69"/>
      <c r="G774" s="69"/>
      <c r="H774" s="70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</row>
    <row r="775" ht="15.75" customHeight="1" spans="1:25">
      <c r="A775" s="88"/>
      <c r="B775" s="69"/>
      <c r="C775" s="90"/>
      <c r="D775" s="69"/>
      <c r="E775" s="69"/>
      <c r="F775" s="69"/>
      <c r="G775" s="69"/>
      <c r="H775" s="70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</row>
    <row r="776" ht="15.75" customHeight="1" spans="1:25">
      <c r="A776" s="88"/>
      <c r="B776" s="69"/>
      <c r="C776" s="90"/>
      <c r="D776" s="69"/>
      <c r="E776" s="69"/>
      <c r="F776" s="69"/>
      <c r="G776" s="69"/>
      <c r="H776" s="70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</row>
    <row r="777" ht="15.75" customHeight="1" spans="1:25">
      <c r="A777" s="88"/>
      <c r="B777" s="69"/>
      <c r="C777" s="90"/>
      <c r="D777" s="69"/>
      <c r="E777" s="69"/>
      <c r="F777" s="69"/>
      <c r="G777" s="69"/>
      <c r="H777" s="70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</row>
    <row r="778" ht="15.75" customHeight="1" spans="1:25">
      <c r="A778" s="88"/>
      <c r="B778" s="69"/>
      <c r="C778" s="90"/>
      <c r="D778" s="69"/>
      <c r="E778" s="69"/>
      <c r="F778" s="69"/>
      <c r="G778" s="69"/>
      <c r="H778" s="70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</row>
    <row r="779" ht="15.75" customHeight="1" spans="1:25">
      <c r="A779" s="88"/>
      <c r="B779" s="69"/>
      <c r="C779" s="90"/>
      <c r="D779" s="69"/>
      <c r="E779" s="69"/>
      <c r="F779" s="69"/>
      <c r="G779" s="69"/>
      <c r="H779" s="70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</row>
    <row r="780" ht="15.75" customHeight="1" spans="1:25">
      <c r="A780" s="88"/>
      <c r="B780" s="69"/>
      <c r="C780" s="90"/>
      <c r="D780" s="69"/>
      <c r="E780" s="69"/>
      <c r="F780" s="69"/>
      <c r="G780" s="69"/>
      <c r="H780" s="70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</row>
    <row r="781" ht="15.75" customHeight="1" spans="1:25">
      <c r="A781" s="88"/>
      <c r="B781" s="69"/>
      <c r="C781" s="90"/>
      <c r="D781" s="69"/>
      <c r="E781" s="69"/>
      <c r="F781" s="69"/>
      <c r="G781" s="69"/>
      <c r="H781" s="70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</row>
    <row r="782" ht="15.75" customHeight="1" spans="1:25">
      <c r="A782" s="88"/>
      <c r="B782" s="69"/>
      <c r="C782" s="90"/>
      <c r="D782" s="69"/>
      <c r="E782" s="69"/>
      <c r="F782" s="69"/>
      <c r="G782" s="69"/>
      <c r="H782" s="70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</row>
    <row r="783" ht="15.75" customHeight="1" spans="1:25">
      <c r="A783" s="88"/>
      <c r="B783" s="69"/>
      <c r="C783" s="90"/>
      <c r="D783" s="69"/>
      <c r="E783" s="69"/>
      <c r="F783" s="69"/>
      <c r="G783" s="69"/>
      <c r="H783" s="70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</row>
    <row r="784" ht="15.75" customHeight="1" spans="1:25">
      <c r="A784" s="88"/>
      <c r="B784" s="69"/>
      <c r="C784" s="90"/>
      <c r="D784" s="69"/>
      <c r="E784" s="69"/>
      <c r="F784" s="69"/>
      <c r="G784" s="69"/>
      <c r="H784" s="70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</row>
    <row r="785" ht="15.75" customHeight="1" spans="1:25">
      <c r="A785" s="88"/>
      <c r="B785" s="69"/>
      <c r="C785" s="90"/>
      <c r="D785" s="69"/>
      <c r="E785" s="69"/>
      <c r="F785" s="69"/>
      <c r="G785" s="69"/>
      <c r="H785" s="70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</row>
    <row r="786" ht="15.75" customHeight="1" spans="1:25">
      <c r="A786" s="88"/>
      <c r="B786" s="69"/>
      <c r="C786" s="90"/>
      <c r="D786" s="69"/>
      <c r="E786" s="69"/>
      <c r="F786" s="69"/>
      <c r="G786" s="69"/>
      <c r="H786" s="70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</row>
    <row r="787" ht="15.75" customHeight="1" spans="1:25">
      <c r="A787" s="88"/>
      <c r="B787" s="69"/>
      <c r="C787" s="90"/>
      <c r="D787" s="69"/>
      <c r="E787" s="69"/>
      <c r="F787" s="69"/>
      <c r="G787" s="69"/>
      <c r="H787" s="70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</row>
    <row r="788" ht="15.75" customHeight="1" spans="1:25">
      <c r="A788" s="88"/>
      <c r="B788" s="69"/>
      <c r="C788" s="90"/>
      <c r="D788" s="69"/>
      <c r="E788" s="69"/>
      <c r="F788" s="69"/>
      <c r="G788" s="69"/>
      <c r="H788" s="70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</row>
    <row r="789" ht="15.75" customHeight="1" spans="1:25">
      <c r="A789" s="88"/>
      <c r="B789" s="69"/>
      <c r="C789" s="90"/>
      <c r="D789" s="69"/>
      <c r="E789" s="69"/>
      <c r="F789" s="69"/>
      <c r="G789" s="69"/>
      <c r="H789" s="70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</row>
    <row r="790" ht="15.75" customHeight="1" spans="1:25">
      <c r="A790" s="88"/>
      <c r="B790" s="69"/>
      <c r="C790" s="90"/>
      <c r="D790" s="69"/>
      <c r="E790" s="69"/>
      <c r="F790" s="69"/>
      <c r="G790" s="69"/>
      <c r="H790" s="70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</row>
    <row r="791" ht="15.75" customHeight="1" spans="1:25">
      <c r="A791" s="88"/>
      <c r="B791" s="69"/>
      <c r="C791" s="90"/>
      <c r="D791" s="69"/>
      <c r="E791" s="69"/>
      <c r="F791" s="69"/>
      <c r="G791" s="69"/>
      <c r="H791" s="70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</row>
    <row r="792" ht="15.75" customHeight="1" spans="1:25">
      <c r="A792" s="88"/>
      <c r="B792" s="69"/>
      <c r="C792" s="90"/>
      <c r="D792" s="69"/>
      <c r="E792" s="69"/>
      <c r="F792" s="69"/>
      <c r="G792" s="69"/>
      <c r="H792" s="70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</row>
    <row r="793" ht="15.75" customHeight="1" spans="1:25">
      <c r="A793" s="88"/>
      <c r="B793" s="69"/>
      <c r="C793" s="90"/>
      <c r="D793" s="69"/>
      <c r="E793" s="69"/>
      <c r="F793" s="69"/>
      <c r="G793" s="69"/>
      <c r="H793" s="70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</row>
    <row r="794" ht="15.75" customHeight="1" spans="1:25">
      <c r="A794" s="88"/>
      <c r="B794" s="69"/>
      <c r="C794" s="90"/>
      <c r="D794" s="69"/>
      <c r="E794" s="69"/>
      <c r="F794" s="69"/>
      <c r="G794" s="69"/>
      <c r="H794" s="70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</row>
    <row r="795" ht="15.75" customHeight="1" spans="1:25">
      <c r="A795" s="88"/>
      <c r="B795" s="69"/>
      <c r="C795" s="90"/>
      <c r="D795" s="69"/>
      <c r="E795" s="69"/>
      <c r="F795" s="69"/>
      <c r="G795" s="69"/>
      <c r="H795" s="70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</row>
    <row r="796" ht="15.75" customHeight="1" spans="1:25">
      <c r="A796" s="88"/>
      <c r="B796" s="69"/>
      <c r="C796" s="90"/>
      <c r="D796" s="69"/>
      <c r="E796" s="69"/>
      <c r="F796" s="69"/>
      <c r="G796" s="69"/>
      <c r="H796" s="70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</row>
    <row r="797" ht="15.75" customHeight="1" spans="1:25">
      <c r="A797" s="88"/>
      <c r="B797" s="69"/>
      <c r="C797" s="90"/>
      <c r="D797" s="69"/>
      <c r="E797" s="69"/>
      <c r="F797" s="69"/>
      <c r="G797" s="69"/>
      <c r="H797" s="70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</row>
    <row r="798" ht="15.75" customHeight="1" spans="1:25">
      <c r="A798" s="88"/>
      <c r="B798" s="69"/>
      <c r="C798" s="90"/>
      <c r="D798" s="69"/>
      <c r="E798" s="69"/>
      <c r="F798" s="69"/>
      <c r="G798" s="69"/>
      <c r="H798" s="70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</row>
    <row r="799" ht="15.75" customHeight="1" spans="1:25">
      <c r="A799" s="88"/>
      <c r="B799" s="69"/>
      <c r="C799" s="90"/>
      <c r="D799" s="69"/>
      <c r="E799" s="69"/>
      <c r="F799" s="69"/>
      <c r="G799" s="69"/>
      <c r="H799" s="70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</row>
    <row r="800" ht="15.75" customHeight="1" spans="1:25">
      <c r="A800" s="88"/>
      <c r="B800" s="69"/>
      <c r="C800" s="90"/>
      <c r="D800" s="69"/>
      <c r="E800" s="69"/>
      <c r="F800" s="69"/>
      <c r="G800" s="69"/>
      <c r="H800" s="70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</row>
    <row r="801" ht="15.75" customHeight="1" spans="1:25">
      <c r="A801" s="88"/>
      <c r="B801" s="69"/>
      <c r="C801" s="90"/>
      <c r="D801" s="69"/>
      <c r="E801" s="69"/>
      <c r="F801" s="69"/>
      <c r="G801" s="69"/>
      <c r="H801" s="70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</row>
    <row r="802" ht="15.75" customHeight="1" spans="1:25">
      <c r="A802" s="88"/>
      <c r="B802" s="69"/>
      <c r="C802" s="90"/>
      <c r="D802" s="69"/>
      <c r="E802" s="69"/>
      <c r="F802" s="69"/>
      <c r="G802" s="69"/>
      <c r="H802" s="70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</row>
    <row r="803" ht="15.75" customHeight="1" spans="1:25">
      <c r="A803" s="88"/>
      <c r="B803" s="69"/>
      <c r="C803" s="90"/>
      <c r="D803" s="69"/>
      <c r="E803" s="69"/>
      <c r="F803" s="69"/>
      <c r="G803" s="69"/>
      <c r="H803" s="70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</row>
    <row r="804" ht="15.75" customHeight="1" spans="1:25">
      <c r="A804" s="88"/>
      <c r="B804" s="69"/>
      <c r="C804" s="90"/>
      <c r="D804" s="69"/>
      <c r="E804" s="69"/>
      <c r="F804" s="69"/>
      <c r="G804" s="69"/>
      <c r="H804" s="70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</row>
    <row r="805" ht="15.75" customHeight="1" spans="1:25">
      <c r="A805" s="88"/>
      <c r="B805" s="69"/>
      <c r="C805" s="90"/>
      <c r="D805" s="69"/>
      <c r="E805" s="69"/>
      <c r="F805" s="69"/>
      <c r="G805" s="69"/>
      <c r="H805" s="70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</row>
    <row r="806" ht="15.75" customHeight="1" spans="1:25">
      <c r="A806" s="88"/>
      <c r="B806" s="69"/>
      <c r="C806" s="90"/>
      <c r="D806" s="69"/>
      <c r="E806" s="69"/>
      <c r="F806" s="69"/>
      <c r="G806" s="69"/>
      <c r="H806" s="70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</row>
    <row r="807" ht="15.75" customHeight="1" spans="1:25">
      <c r="A807" s="88"/>
      <c r="B807" s="69"/>
      <c r="C807" s="90"/>
      <c r="D807" s="69"/>
      <c r="E807" s="69"/>
      <c r="F807" s="69"/>
      <c r="G807" s="69"/>
      <c r="H807" s="70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</row>
    <row r="808" ht="15.75" customHeight="1" spans="1:25">
      <c r="A808" s="88"/>
      <c r="B808" s="69"/>
      <c r="C808" s="90"/>
      <c r="D808" s="69"/>
      <c r="E808" s="69"/>
      <c r="F808" s="69"/>
      <c r="G808" s="69"/>
      <c r="H808" s="70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</row>
    <row r="809" ht="15.75" customHeight="1" spans="1:25">
      <c r="A809" s="88"/>
      <c r="B809" s="69"/>
      <c r="C809" s="90"/>
      <c r="D809" s="69"/>
      <c r="E809" s="69"/>
      <c r="F809" s="69"/>
      <c r="G809" s="69"/>
      <c r="H809" s="70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</row>
    <row r="810" ht="15.75" customHeight="1" spans="1:25">
      <c r="A810" s="88"/>
      <c r="B810" s="69"/>
      <c r="C810" s="90"/>
      <c r="D810" s="69"/>
      <c r="E810" s="69"/>
      <c r="F810" s="69"/>
      <c r="G810" s="69"/>
      <c r="H810" s="70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</row>
    <row r="811" ht="15.75" customHeight="1" spans="1:25">
      <c r="A811" s="88"/>
      <c r="B811" s="69"/>
      <c r="C811" s="90"/>
      <c r="D811" s="69"/>
      <c r="E811" s="69"/>
      <c r="F811" s="69"/>
      <c r="G811" s="69"/>
      <c r="H811" s="70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</row>
    <row r="812" ht="15.75" customHeight="1" spans="1:25">
      <c r="A812" s="88"/>
      <c r="B812" s="69"/>
      <c r="C812" s="90"/>
      <c r="D812" s="69"/>
      <c r="E812" s="69"/>
      <c r="F812" s="69"/>
      <c r="G812" s="69"/>
      <c r="H812" s="70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</row>
    <row r="813" ht="15.75" customHeight="1" spans="1:25">
      <c r="A813" s="88"/>
      <c r="B813" s="69"/>
      <c r="C813" s="90"/>
      <c r="D813" s="69"/>
      <c r="E813" s="69"/>
      <c r="F813" s="69"/>
      <c r="G813" s="69"/>
      <c r="H813" s="70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</row>
    <row r="814" ht="15.75" customHeight="1" spans="1:25">
      <c r="A814" s="88"/>
      <c r="B814" s="69"/>
      <c r="C814" s="90"/>
      <c r="D814" s="69"/>
      <c r="E814" s="69"/>
      <c r="F814" s="69"/>
      <c r="G814" s="69"/>
      <c r="H814" s="70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</row>
    <row r="815" ht="15.75" customHeight="1" spans="1:25">
      <c r="A815" s="88"/>
      <c r="B815" s="69"/>
      <c r="C815" s="90"/>
      <c r="D815" s="69"/>
      <c r="E815" s="69"/>
      <c r="F815" s="69"/>
      <c r="G815" s="69"/>
      <c r="H815" s="70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</row>
    <row r="816" ht="15.75" customHeight="1" spans="1:25">
      <c r="A816" s="88"/>
      <c r="B816" s="69"/>
      <c r="C816" s="90"/>
      <c r="D816" s="69"/>
      <c r="E816" s="69"/>
      <c r="F816" s="69"/>
      <c r="G816" s="69"/>
      <c r="H816" s="70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</row>
    <row r="817" ht="15.75" customHeight="1" spans="1:25">
      <c r="A817" s="88"/>
      <c r="B817" s="69"/>
      <c r="C817" s="90"/>
      <c r="D817" s="69"/>
      <c r="E817" s="69"/>
      <c r="F817" s="69"/>
      <c r="G817" s="69"/>
      <c r="H817" s="70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</row>
    <row r="818" ht="15.75" customHeight="1" spans="1:25">
      <c r="A818" s="88"/>
      <c r="B818" s="69"/>
      <c r="C818" s="90"/>
      <c r="D818" s="69"/>
      <c r="E818" s="69"/>
      <c r="F818" s="69"/>
      <c r="G818" s="69"/>
      <c r="H818" s="70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</row>
    <row r="819" ht="15.75" customHeight="1" spans="1:25">
      <c r="A819" s="88"/>
      <c r="B819" s="69"/>
      <c r="C819" s="90"/>
      <c r="D819" s="69"/>
      <c r="E819" s="69"/>
      <c r="F819" s="69"/>
      <c r="G819" s="69"/>
      <c r="H819" s="70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</row>
    <row r="820" ht="15.75" customHeight="1" spans="1:25">
      <c r="A820" s="88"/>
      <c r="B820" s="69"/>
      <c r="C820" s="90"/>
      <c r="D820" s="69"/>
      <c r="E820" s="69"/>
      <c r="F820" s="69"/>
      <c r="G820" s="69"/>
      <c r="H820" s="70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</row>
    <row r="821" ht="15.75" customHeight="1" spans="1:25">
      <c r="A821" s="88"/>
      <c r="B821" s="69"/>
      <c r="C821" s="90"/>
      <c r="D821" s="69"/>
      <c r="E821" s="69"/>
      <c r="F821" s="69"/>
      <c r="G821" s="69"/>
      <c r="H821" s="70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</row>
    <row r="822" ht="15.75" customHeight="1" spans="1:25">
      <c r="A822" s="88"/>
      <c r="B822" s="69"/>
      <c r="C822" s="90"/>
      <c r="D822" s="69"/>
      <c r="E822" s="69"/>
      <c r="F822" s="69"/>
      <c r="G822" s="69"/>
      <c r="H822" s="70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</row>
    <row r="823" ht="15.75" customHeight="1" spans="1:25">
      <c r="A823" s="88"/>
      <c r="B823" s="69"/>
      <c r="C823" s="90"/>
      <c r="D823" s="69"/>
      <c r="E823" s="69"/>
      <c r="F823" s="69"/>
      <c r="G823" s="69"/>
      <c r="H823" s="70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</row>
    <row r="824" ht="15.75" customHeight="1" spans="1:25">
      <c r="A824" s="88"/>
      <c r="B824" s="69"/>
      <c r="C824" s="90"/>
      <c r="D824" s="69"/>
      <c r="E824" s="69"/>
      <c r="F824" s="69"/>
      <c r="G824" s="69"/>
      <c r="H824" s="70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</row>
    <row r="825" ht="15.75" customHeight="1" spans="1:25">
      <c r="A825" s="88"/>
      <c r="B825" s="69"/>
      <c r="C825" s="90"/>
      <c r="D825" s="69"/>
      <c r="E825" s="69"/>
      <c r="F825" s="69"/>
      <c r="G825" s="69"/>
      <c r="H825" s="70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</row>
    <row r="826" ht="15.75" customHeight="1" spans="1:25">
      <c r="A826" s="88"/>
      <c r="B826" s="69"/>
      <c r="C826" s="90"/>
      <c r="D826" s="69"/>
      <c r="E826" s="69"/>
      <c r="F826" s="69"/>
      <c r="G826" s="69"/>
      <c r="H826" s="70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</row>
    <row r="827" ht="15.75" customHeight="1" spans="1:25">
      <c r="A827" s="88"/>
      <c r="B827" s="69"/>
      <c r="C827" s="90"/>
      <c r="D827" s="69"/>
      <c r="E827" s="69"/>
      <c r="F827" s="69"/>
      <c r="G827" s="69"/>
      <c r="H827" s="70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</row>
    <row r="828" ht="15.75" customHeight="1" spans="1:25">
      <c r="A828" s="88"/>
      <c r="B828" s="69"/>
      <c r="C828" s="90"/>
      <c r="D828" s="69"/>
      <c r="E828" s="69"/>
      <c r="F828" s="69"/>
      <c r="G828" s="69"/>
      <c r="H828" s="70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</row>
    <row r="829" ht="15.75" customHeight="1" spans="1:25">
      <c r="A829" s="88"/>
      <c r="B829" s="69"/>
      <c r="C829" s="90"/>
      <c r="D829" s="69"/>
      <c r="E829" s="69"/>
      <c r="F829" s="69"/>
      <c r="G829" s="69"/>
      <c r="H829" s="70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</row>
    <row r="830" ht="15.75" customHeight="1" spans="1:25">
      <c r="A830" s="88"/>
      <c r="B830" s="69"/>
      <c r="C830" s="90"/>
      <c r="D830" s="69"/>
      <c r="E830" s="69"/>
      <c r="F830" s="69"/>
      <c r="G830" s="69"/>
      <c r="H830" s="70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</row>
    <row r="831" ht="15.75" customHeight="1" spans="1:25">
      <c r="A831" s="88"/>
      <c r="B831" s="69"/>
      <c r="C831" s="90"/>
      <c r="D831" s="69"/>
      <c r="E831" s="69"/>
      <c r="F831" s="69"/>
      <c r="G831" s="69"/>
      <c r="H831" s="70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</row>
    <row r="832" ht="15.75" customHeight="1" spans="1:25">
      <c r="A832" s="88"/>
      <c r="B832" s="69"/>
      <c r="C832" s="90"/>
      <c r="D832" s="69"/>
      <c r="E832" s="69"/>
      <c r="F832" s="69"/>
      <c r="G832" s="69"/>
      <c r="H832" s="70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</row>
    <row r="833" ht="15.75" customHeight="1" spans="1:25">
      <c r="A833" s="88"/>
      <c r="B833" s="69"/>
      <c r="C833" s="90"/>
      <c r="D833" s="69"/>
      <c r="E833" s="69"/>
      <c r="F833" s="69"/>
      <c r="G833" s="69"/>
      <c r="H833" s="70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</row>
    <row r="834" ht="15.75" customHeight="1" spans="1:25">
      <c r="A834" s="88"/>
      <c r="B834" s="69"/>
      <c r="C834" s="90"/>
      <c r="D834" s="69"/>
      <c r="E834" s="69"/>
      <c r="F834" s="69"/>
      <c r="G834" s="69"/>
      <c r="H834" s="70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</row>
    <row r="835" ht="15.75" customHeight="1" spans="1:25">
      <c r="A835" s="88"/>
      <c r="B835" s="69"/>
      <c r="C835" s="90"/>
      <c r="D835" s="69"/>
      <c r="E835" s="69"/>
      <c r="F835" s="69"/>
      <c r="G835" s="69"/>
      <c r="H835" s="70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</row>
    <row r="836" ht="15.75" customHeight="1" spans="1:25">
      <c r="A836" s="88"/>
      <c r="B836" s="69"/>
      <c r="C836" s="90"/>
      <c r="D836" s="69"/>
      <c r="E836" s="69"/>
      <c r="F836" s="69"/>
      <c r="G836" s="69"/>
      <c r="H836" s="70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</row>
    <row r="837" ht="15.75" customHeight="1" spans="1:25">
      <c r="A837" s="88"/>
      <c r="B837" s="69"/>
      <c r="C837" s="90"/>
      <c r="D837" s="69"/>
      <c r="E837" s="69"/>
      <c r="F837" s="69"/>
      <c r="G837" s="69"/>
      <c r="H837" s="70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</row>
    <row r="838" ht="15.75" customHeight="1" spans="1:25">
      <c r="A838" s="88"/>
      <c r="B838" s="69"/>
      <c r="C838" s="90"/>
      <c r="D838" s="69"/>
      <c r="E838" s="69"/>
      <c r="F838" s="69"/>
      <c r="G838" s="69"/>
      <c r="H838" s="70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</row>
    <row r="839" ht="15.75" customHeight="1" spans="1:25">
      <c r="A839" s="88"/>
      <c r="B839" s="69"/>
      <c r="C839" s="90"/>
      <c r="D839" s="69"/>
      <c r="E839" s="69"/>
      <c r="F839" s="69"/>
      <c r="G839" s="69"/>
      <c r="H839" s="70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</row>
    <row r="840" ht="15.75" customHeight="1" spans="1:25">
      <c r="A840" s="88"/>
      <c r="B840" s="69"/>
      <c r="C840" s="90"/>
      <c r="D840" s="69"/>
      <c r="E840" s="69"/>
      <c r="F840" s="69"/>
      <c r="G840" s="69"/>
      <c r="H840" s="70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</row>
    <row r="841" ht="15.75" customHeight="1" spans="1:25">
      <c r="A841" s="88"/>
      <c r="B841" s="69"/>
      <c r="C841" s="90"/>
      <c r="D841" s="69"/>
      <c r="E841" s="69"/>
      <c r="F841" s="69"/>
      <c r="G841" s="69"/>
      <c r="H841" s="70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</row>
    <row r="842" ht="15.75" customHeight="1" spans="1:25">
      <c r="A842" s="88"/>
      <c r="B842" s="69"/>
      <c r="C842" s="90"/>
      <c r="D842" s="69"/>
      <c r="E842" s="69"/>
      <c r="F842" s="69"/>
      <c r="G842" s="69"/>
      <c r="H842" s="70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</row>
    <row r="843" ht="15.75" customHeight="1" spans="1:25">
      <c r="A843" s="88"/>
      <c r="B843" s="69"/>
      <c r="C843" s="90"/>
      <c r="D843" s="69"/>
      <c r="E843" s="69"/>
      <c r="F843" s="69"/>
      <c r="G843" s="69"/>
      <c r="H843" s="70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</row>
    <row r="844" ht="15.75" customHeight="1" spans="1:25">
      <c r="A844" s="88"/>
      <c r="B844" s="69"/>
      <c r="C844" s="90"/>
      <c r="D844" s="69"/>
      <c r="E844" s="69"/>
      <c r="F844" s="69"/>
      <c r="G844" s="69"/>
      <c r="H844" s="70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</row>
    <row r="845" ht="15.75" customHeight="1" spans="1:25">
      <c r="A845" s="88"/>
      <c r="B845" s="69"/>
      <c r="C845" s="90"/>
      <c r="D845" s="69"/>
      <c r="E845" s="69"/>
      <c r="F845" s="69"/>
      <c r="G845" s="69"/>
      <c r="H845" s="70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</row>
    <row r="846" ht="15.75" customHeight="1" spans="1:25">
      <c r="A846" s="88"/>
      <c r="B846" s="69"/>
      <c r="C846" s="90"/>
      <c r="D846" s="69"/>
      <c r="E846" s="69"/>
      <c r="F846" s="69"/>
      <c r="G846" s="69"/>
      <c r="H846" s="70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</row>
    <row r="847" ht="15.75" customHeight="1" spans="1:25">
      <c r="A847" s="88"/>
      <c r="B847" s="69"/>
      <c r="C847" s="90"/>
      <c r="D847" s="69"/>
      <c r="E847" s="69"/>
      <c r="F847" s="69"/>
      <c r="G847" s="69"/>
      <c r="H847" s="70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</row>
    <row r="848" ht="15.75" customHeight="1" spans="1:25">
      <c r="A848" s="88"/>
      <c r="B848" s="69"/>
      <c r="C848" s="90"/>
      <c r="D848" s="69"/>
      <c r="E848" s="69"/>
      <c r="F848" s="69"/>
      <c r="G848" s="69"/>
      <c r="H848" s="70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</row>
    <row r="849" ht="15.75" customHeight="1" spans="1:25">
      <c r="A849" s="88"/>
      <c r="B849" s="69"/>
      <c r="C849" s="90"/>
      <c r="D849" s="69"/>
      <c r="E849" s="69"/>
      <c r="F849" s="69"/>
      <c r="G849" s="69"/>
      <c r="H849" s="70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</row>
    <row r="850" ht="15.75" customHeight="1" spans="1:25">
      <c r="A850" s="88"/>
      <c r="B850" s="69"/>
      <c r="C850" s="90"/>
      <c r="D850" s="69"/>
      <c r="E850" s="69"/>
      <c r="F850" s="69"/>
      <c r="G850" s="69"/>
      <c r="H850" s="70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</row>
    <row r="851" ht="15.75" customHeight="1" spans="1:25">
      <c r="A851" s="88"/>
      <c r="B851" s="69"/>
      <c r="C851" s="90"/>
      <c r="D851" s="69"/>
      <c r="E851" s="69"/>
      <c r="F851" s="69"/>
      <c r="G851" s="69"/>
      <c r="H851" s="70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</row>
    <row r="852" ht="15.75" customHeight="1" spans="1:25">
      <c r="A852" s="88"/>
      <c r="B852" s="69"/>
      <c r="C852" s="90"/>
      <c r="D852" s="69"/>
      <c r="E852" s="69"/>
      <c r="F852" s="69"/>
      <c r="G852" s="69"/>
      <c r="H852" s="70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</row>
    <row r="853" ht="15.75" customHeight="1" spans="1:25">
      <c r="A853" s="88"/>
      <c r="B853" s="69"/>
      <c r="C853" s="90"/>
      <c r="D853" s="69"/>
      <c r="E853" s="69"/>
      <c r="F853" s="69"/>
      <c r="G853" s="69"/>
      <c r="H853" s="70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</row>
    <row r="854" ht="15.75" customHeight="1" spans="1:25">
      <c r="A854" s="88"/>
      <c r="B854" s="69"/>
      <c r="C854" s="90"/>
      <c r="D854" s="69"/>
      <c r="E854" s="69"/>
      <c r="F854" s="69"/>
      <c r="G854" s="69"/>
      <c r="H854" s="70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</row>
    <row r="855" ht="15.75" customHeight="1" spans="1:25">
      <c r="A855" s="88"/>
      <c r="B855" s="69"/>
      <c r="C855" s="90"/>
      <c r="D855" s="69"/>
      <c r="E855" s="69"/>
      <c r="F855" s="69"/>
      <c r="G855" s="69"/>
      <c r="H855" s="70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</row>
    <row r="856" ht="15.75" customHeight="1" spans="1:25">
      <c r="A856" s="88"/>
      <c r="B856" s="69"/>
      <c r="C856" s="90"/>
      <c r="D856" s="69"/>
      <c r="E856" s="69"/>
      <c r="F856" s="69"/>
      <c r="G856" s="69"/>
      <c r="H856" s="70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</row>
    <row r="857" ht="15.75" customHeight="1" spans="1:25">
      <c r="A857" s="88"/>
      <c r="B857" s="69"/>
      <c r="C857" s="90"/>
      <c r="D857" s="69"/>
      <c r="E857" s="69"/>
      <c r="F857" s="69"/>
      <c r="G857" s="69"/>
      <c r="H857" s="70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</row>
    <row r="858" ht="15.75" customHeight="1" spans="1:25">
      <c r="A858" s="88"/>
      <c r="B858" s="69"/>
      <c r="C858" s="90"/>
      <c r="D858" s="69"/>
      <c r="E858" s="69"/>
      <c r="F858" s="69"/>
      <c r="G858" s="69"/>
      <c r="H858" s="70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</row>
    <row r="859" ht="15.75" customHeight="1" spans="1:25">
      <c r="A859" s="88"/>
      <c r="B859" s="69"/>
      <c r="C859" s="90"/>
      <c r="D859" s="69"/>
      <c r="E859" s="69"/>
      <c r="F859" s="69"/>
      <c r="G859" s="69"/>
      <c r="H859" s="70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</row>
    <row r="860" ht="15.75" customHeight="1" spans="1:25">
      <c r="A860" s="88"/>
      <c r="B860" s="69"/>
      <c r="C860" s="90"/>
      <c r="D860" s="69"/>
      <c r="E860" s="69"/>
      <c r="F860" s="69"/>
      <c r="G860" s="69"/>
      <c r="H860" s="70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</row>
    <row r="861" ht="15.75" customHeight="1" spans="1:25">
      <c r="A861" s="88"/>
      <c r="B861" s="69"/>
      <c r="C861" s="90"/>
      <c r="D861" s="69"/>
      <c r="E861" s="69"/>
      <c r="F861" s="69"/>
      <c r="G861" s="69"/>
      <c r="H861" s="70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</row>
    <row r="862" ht="15.75" customHeight="1" spans="1:25">
      <c r="A862" s="88"/>
      <c r="B862" s="69"/>
      <c r="C862" s="90"/>
      <c r="D862" s="69"/>
      <c r="E862" s="69"/>
      <c r="F862" s="69"/>
      <c r="G862" s="69"/>
      <c r="H862" s="70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</row>
    <row r="863" ht="15.75" customHeight="1" spans="1:25">
      <c r="A863" s="88"/>
      <c r="B863" s="69"/>
      <c r="C863" s="90"/>
      <c r="D863" s="69"/>
      <c r="E863" s="69"/>
      <c r="F863" s="69"/>
      <c r="G863" s="69"/>
      <c r="H863" s="70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</row>
    <row r="864" ht="15.75" customHeight="1" spans="1:25">
      <c r="A864" s="88"/>
      <c r="B864" s="69"/>
      <c r="C864" s="90"/>
      <c r="D864" s="69"/>
      <c r="E864" s="69"/>
      <c r="F864" s="69"/>
      <c r="G864" s="69"/>
      <c r="H864" s="70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</row>
    <row r="865" ht="15.75" customHeight="1" spans="1:25">
      <c r="A865" s="88"/>
      <c r="B865" s="69"/>
      <c r="C865" s="90"/>
      <c r="D865" s="69"/>
      <c r="E865" s="69"/>
      <c r="F865" s="69"/>
      <c r="G865" s="69"/>
      <c r="H865" s="70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</row>
    <row r="866" ht="15.75" customHeight="1" spans="1:25">
      <c r="A866" s="88"/>
      <c r="B866" s="69"/>
      <c r="C866" s="90"/>
      <c r="D866" s="69"/>
      <c r="E866" s="69"/>
      <c r="F866" s="69"/>
      <c r="G866" s="69"/>
      <c r="H866" s="70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</row>
    <row r="867" ht="15.75" customHeight="1" spans="1:25">
      <c r="A867" s="88"/>
      <c r="B867" s="69"/>
      <c r="C867" s="90"/>
      <c r="D867" s="69"/>
      <c r="E867" s="69"/>
      <c r="F867" s="69"/>
      <c r="G867" s="69"/>
      <c r="H867" s="70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</row>
    <row r="868" ht="15.75" customHeight="1" spans="1:25">
      <c r="A868" s="88"/>
      <c r="B868" s="69"/>
      <c r="C868" s="90"/>
      <c r="D868" s="69"/>
      <c r="E868" s="69"/>
      <c r="F868" s="69"/>
      <c r="G868" s="69"/>
      <c r="H868" s="70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</row>
    <row r="869" ht="15.75" customHeight="1" spans="1:25">
      <c r="A869" s="88"/>
      <c r="B869" s="69"/>
      <c r="C869" s="90"/>
      <c r="D869" s="69"/>
      <c r="E869" s="69"/>
      <c r="F869" s="69"/>
      <c r="G869" s="69"/>
      <c r="H869" s="70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</row>
    <row r="870" ht="15.75" customHeight="1" spans="1:25">
      <c r="A870" s="88"/>
      <c r="B870" s="69"/>
      <c r="C870" s="90"/>
      <c r="D870" s="69"/>
      <c r="E870" s="69"/>
      <c r="F870" s="69"/>
      <c r="G870" s="69"/>
      <c r="H870" s="70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</row>
    <row r="871" ht="15.75" customHeight="1" spans="1:25">
      <c r="A871" s="88"/>
      <c r="B871" s="69"/>
      <c r="C871" s="90"/>
      <c r="D871" s="69"/>
      <c r="E871" s="69"/>
      <c r="F871" s="69"/>
      <c r="G871" s="69"/>
      <c r="H871" s="70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</row>
    <row r="872" ht="15.75" customHeight="1" spans="1:25">
      <c r="A872" s="88"/>
      <c r="B872" s="69"/>
      <c r="C872" s="90"/>
      <c r="D872" s="69"/>
      <c r="E872" s="69"/>
      <c r="F872" s="69"/>
      <c r="G872" s="69"/>
      <c r="H872" s="70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</row>
    <row r="873" ht="15.75" customHeight="1" spans="1:25">
      <c r="A873" s="88"/>
      <c r="B873" s="69"/>
      <c r="C873" s="90"/>
      <c r="D873" s="69"/>
      <c r="E873" s="69"/>
      <c r="F873" s="69"/>
      <c r="G873" s="69"/>
      <c r="H873" s="70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</row>
    <row r="874" ht="15.75" customHeight="1" spans="1:25">
      <c r="A874" s="88"/>
      <c r="B874" s="69"/>
      <c r="C874" s="90"/>
      <c r="D874" s="69"/>
      <c r="E874" s="69"/>
      <c r="F874" s="69"/>
      <c r="G874" s="69"/>
      <c r="H874" s="70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</row>
    <row r="875" ht="15.75" customHeight="1" spans="1:25">
      <c r="A875" s="88"/>
      <c r="B875" s="69"/>
      <c r="C875" s="90"/>
      <c r="D875" s="69"/>
      <c r="E875" s="69"/>
      <c r="F875" s="69"/>
      <c r="G875" s="69"/>
      <c r="H875" s="70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</row>
    <row r="876" ht="15.75" customHeight="1" spans="1:25">
      <c r="A876" s="88"/>
      <c r="B876" s="69"/>
      <c r="C876" s="90"/>
      <c r="D876" s="69"/>
      <c r="E876" s="69"/>
      <c r="F876" s="69"/>
      <c r="G876" s="69"/>
      <c r="H876" s="70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</row>
    <row r="877" ht="15.75" customHeight="1" spans="1:25">
      <c r="A877" s="88"/>
      <c r="B877" s="69"/>
      <c r="C877" s="90"/>
      <c r="D877" s="69"/>
      <c r="E877" s="69"/>
      <c r="F877" s="69"/>
      <c r="G877" s="69"/>
      <c r="H877" s="70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</row>
    <row r="878" ht="15.75" customHeight="1" spans="1:25">
      <c r="A878" s="88"/>
      <c r="B878" s="69"/>
      <c r="C878" s="90"/>
      <c r="D878" s="69"/>
      <c r="E878" s="69"/>
      <c r="F878" s="69"/>
      <c r="G878" s="69"/>
      <c r="H878" s="70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</row>
    <row r="879" ht="15.75" customHeight="1" spans="1:25">
      <c r="A879" s="88"/>
      <c r="B879" s="69"/>
      <c r="C879" s="90"/>
      <c r="D879" s="69"/>
      <c r="E879" s="69"/>
      <c r="F879" s="69"/>
      <c r="G879" s="69"/>
      <c r="H879" s="70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</row>
    <row r="880" ht="15.75" customHeight="1" spans="1:25">
      <c r="A880" s="88"/>
      <c r="B880" s="69"/>
      <c r="C880" s="90"/>
      <c r="D880" s="69"/>
      <c r="E880" s="69"/>
      <c r="F880" s="69"/>
      <c r="G880" s="69"/>
      <c r="H880" s="70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</row>
    <row r="881" ht="15.75" customHeight="1" spans="1:25">
      <c r="A881" s="88"/>
      <c r="B881" s="69"/>
      <c r="C881" s="90"/>
      <c r="D881" s="69"/>
      <c r="E881" s="69"/>
      <c r="F881" s="69"/>
      <c r="G881" s="69"/>
      <c r="H881" s="70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</row>
    <row r="882" ht="15.75" customHeight="1" spans="1:25">
      <c r="A882" s="88"/>
      <c r="B882" s="69"/>
      <c r="C882" s="90"/>
      <c r="D882" s="69"/>
      <c r="E882" s="69"/>
      <c r="F882" s="69"/>
      <c r="G882" s="69"/>
      <c r="H882" s="70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</row>
    <row r="883" ht="15.75" customHeight="1" spans="1:25">
      <c r="A883" s="88"/>
      <c r="B883" s="69"/>
      <c r="C883" s="90"/>
      <c r="D883" s="69"/>
      <c r="E883" s="69"/>
      <c r="F883" s="69"/>
      <c r="G883" s="69"/>
      <c r="H883" s="70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</row>
    <row r="884" ht="15.75" customHeight="1" spans="1:25">
      <c r="A884" s="88"/>
      <c r="B884" s="69"/>
      <c r="C884" s="90"/>
      <c r="D884" s="69"/>
      <c r="E884" s="69"/>
      <c r="F884" s="69"/>
      <c r="G884" s="69"/>
      <c r="H884" s="70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</row>
    <row r="885" ht="15.75" customHeight="1" spans="1:25">
      <c r="A885" s="88"/>
      <c r="B885" s="69"/>
      <c r="C885" s="90"/>
      <c r="D885" s="69"/>
      <c r="E885" s="69"/>
      <c r="F885" s="69"/>
      <c r="G885" s="69"/>
      <c r="H885" s="70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</row>
    <row r="886" ht="15.75" customHeight="1" spans="1:25">
      <c r="A886" s="88"/>
      <c r="B886" s="69"/>
      <c r="C886" s="90"/>
      <c r="D886" s="69"/>
      <c r="E886" s="69"/>
      <c r="F886" s="69"/>
      <c r="G886" s="69"/>
      <c r="H886" s="70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</row>
    <row r="887" ht="15.75" customHeight="1" spans="1:25">
      <c r="A887" s="88"/>
      <c r="B887" s="69"/>
      <c r="C887" s="90"/>
      <c r="D887" s="69"/>
      <c r="E887" s="69"/>
      <c r="F887" s="69"/>
      <c r="G887" s="69"/>
      <c r="H887" s="70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</row>
    <row r="888" ht="15.75" customHeight="1" spans="1:25">
      <c r="A888" s="88"/>
      <c r="B888" s="69"/>
      <c r="C888" s="90"/>
      <c r="D888" s="69"/>
      <c r="E888" s="69"/>
      <c r="F888" s="69"/>
      <c r="G888" s="69"/>
      <c r="H888" s="70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</row>
    <row r="889" ht="15.75" customHeight="1" spans="1:25">
      <c r="A889" s="88"/>
      <c r="B889" s="69"/>
      <c r="C889" s="90"/>
      <c r="D889" s="69"/>
      <c r="E889" s="69"/>
      <c r="F889" s="69"/>
      <c r="G889" s="69"/>
      <c r="H889" s="70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</row>
    <row r="890" ht="15.75" customHeight="1" spans="1:25">
      <c r="A890" s="88"/>
      <c r="B890" s="69"/>
      <c r="C890" s="90"/>
      <c r="D890" s="69"/>
      <c r="E890" s="69"/>
      <c r="F890" s="69"/>
      <c r="G890" s="69"/>
      <c r="H890" s="70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</row>
    <row r="891" ht="15.75" customHeight="1" spans="1:25">
      <c r="A891" s="88"/>
      <c r="B891" s="69"/>
      <c r="C891" s="90"/>
      <c r="D891" s="69"/>
      <c r="E891" s="69"/>
      <c r="F891" s="69"/>
      <c r="G891" s="69"/>
      <c r="H891" s="70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</row>
    <row r="892" ht="15.75" customHeight="1" spans="1:25">
      <c r="A892" s="88"/>
      <c r="B892" s="69"/>
      <c r="C892" s="90"/>
      <c r="D892" s="69"/>
      <c r="E892" s="69"/>
      <c r="F892" s="69"/>
      <c r="G892" s="69"/>
      <c r="H892" s="70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</row>
    <row r="893" ht="15.75" customHeight="1" spans="1:25">
      <c r="A893" s="88"/>
      <c r="B893" s="69"/>
      <c r="C893" s="90"/>
      <c r="D893" s="69"/>
      <c r="E893" s="69"/>
      <c r="F893" s="69"/>
      <c r="G893" s="69"/>
      <c r="H893" s="70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</row>
    <row r="894" ht="15.75" customHeight="1" spans="1:25">
      <c r="A894" s="88"/>
      <c r="B894" s="69"/>
      <c r="C894" s="90"/>
      <c r="D894" s="69"/>
      <c r="E894" s="69"/>
      <c r="F894" s="69"/>
      <c r="G894" s="69"/>
      <c r="H894" s="70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</row>
    <row r="895" ht="15.75" customHeight="1" spans="1:25">
      <c r="A895" s="88"/>
      <c r="B895" s="69"/>
      <c r="C895" s="90"/>
      <c r="D895" s="69"/>
      <c r="E895" s="69"/>
      <c r="F895" s="69"/>
      <c r="G895" s="69"/>
      <c r="H895" s="70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</row>
    <row r="896" ht="15.75" customHeight="1" spans="1:25">
      <c r="A896" s="88"/>
      <c r="B896" s="69"/>
      <c r="C896" s="90"/>
      <c r="D896" s="69"/>
      <c r="E896" s="69"/>
      <c r="F896" s="69"/>
      <c r="G896" s="69"/>
      <c r="H896" s="70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</row>
    <row r="897" ht="15.75" customHeight="1" spans="1:25">
      <c r="A897" s="88"/>
      <c r="B897" s="69"/>
      <c r="C897" s="90"/>
      <c r="D897" s="69"/>
      <c r="E897" s="69"/>
      <c r="F897" s="69"/>
      <c r="G897" s="69"/>
      <c r="H897" s="70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</row>
    <row r="898" ht="15.75" customHeight="1" spans="1:25">
      <c r="A898" s="88"/>
      <c r="B898" s="69"/>
      <c r="C898" s="90"/>
      <c r="D898" s="69"/>
      <c r="E898" s="69"/>
      <c r="F898" s="69"/>
      <c r="G898" s="69"/>
      <c r="H898" s="70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</row>
    <row r="899" ht="15.75" customHeight="1" spans="1:25">
      <c r="A899" s="88"/>
      <c r="B899" s="69"/>
      <c r="C899" s="90"/>
      <c r="D899" s="69"/>
      <c r="E899" s="69"/>
      <c r="F899" s="69"/>
      <c r="G899" s="69"/>
      <c r="H899" s="70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</row>
    <row r="900" ht="15.75" customHeight="1" spans="1:25">
      <c r="A900" s="88"/>
      <c r="B900" s="69"/>
      <c r="C900" s="90"/>
      <c r="D900" s="69"/>
      <c r="E900" s="69"/>
      <c r="F900" s="69"/>
      <c r="G900" s="69"/>
      <c r="H900" s="70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</row>
    <row r="901" ht="15.75" customHeight="1" spans="1:25">
      <c r="A901" s="88"/>
      <c r="B901" s="69"/>
      <c r="C901" s="90"/>
      <c r="D901" s="69"/>
      <c r="E901" s="69"/>
      <c r="F901" s="69"/>
      <c r="G901" s="69"/>
      <c r="H901" s="70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</row>
    <row r="902" ht="15.75" customHeight="1" spans="1:25">
      <c r="A902" s="88"/>
      <c r="B902" s="69"/>
      <c r="C902" s="90"/>
      <c r="D902" s="69"/>
      <c r="E902" s="69"/>
      <c r="F902" s="69"/>
      <c r="G902" s="69"/>
      <c r="H902" s="70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</row>
    <row r="903" ht="15.75" customHeight="1" spans="1:25">
      <c r="A903" s="88"/>
      <c r="B903" s="69"/>
      <c r="C903" s="90"/>
      <c r="D903" s="69"/>
      <c r="E903" s="69"/>
      <c r="F903" s="69"/>
      <c r="G903" s="69"/>
      <c r="H903" s="70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</row>
    <row r="904" ht="15.75" customHeight="1" spans="1:25">
      <c r="A904" s="88"/>
      <c r="B904" s="69"/>
      <c r="C904" s="90"/>
      <c r="D904" s="69"/>
      <c r="E904" s="69"/>
      <c r="F904" s="69"/>
      <c r="G904" s="69"/>
      <c r="H904" s="70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</row>
    <row r="905" ht="15.75" customHeight="1" spans="1:25">
      <c r="A905" s="88"/>
      <c r="B905" s="69"/>
      <c r="C905" s="90"/>
      <c r="D905" s="69"/>
      <c r="E905" s="69"/>
      <c r="F905" s="69"/>
      <c r="G905" s="69"/>
      <c r="H905" s="70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</row>
    <row r="906" ht="15.75" customHeight="1" spans="1:25">
      <c r="A906" s="88"/>
      <c r="B906" s="69"/>
      <c r="C906" s="90"/>
      <c r="D906" s="69"/>
      <c r="E906" s="69"/>
      <c r="F906" s="69"/>
      <c r="G906" s="69"/>
      <c r="H906" s="70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</row>
    <row r="907" ht="15.75" customHeight="1" spans="1:25">
      <c r="A907" s="88"/>
      <c r="B907" s="69"/>
      <c r="C907" s="90"/>
      <c r="D907" s="69"/>
      <c r="E907" s="69"/>
      <c r="F907" s="69"/>
      <c r="G907" s="69"/>
      <c r="H907" s="70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</row>
    <row r="908" ht="15.75" customHeight="1" spans="1:25">
      <c r="A908" s="88"/>
      <c r="B908" s="69"/>
      <c r="C908" s="90"/>
      <c r="D908" s="69"/>
      <c r="E908" s="69"/>
      <c r="F908" s="69"/>
      <c r="G908" s="69"/>
      <c r="H908" s="70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</row>
    <row r="909" ht="15.75" customHeight="1" spans="1:25">
      <c r="A909" s="88"/>
      <c r="B909" s="69"/>
      <c r="C909" s="90"/>
      <c r="D909" s="69"/>
      <c r="E909" s="69"/>
      <c r="F909" s="69"/>
      <c r="G909" s="69"/>
      <c r="H909" s="70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</row>
    <row r="910" ht="15.75" customHeight="1" spans="1:25">
      <c r="A910" s="88"/>
      <c r="B910" s="69"/>
      <c r="C910" s="90"/>
      <c r="D910" s="69"/>
      <c r="E910" s="69"/>
      <c r="F910" s="69"/>
      <c r="G910" s="69"/>
      <c r="H910" s="70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</row>
    <row r="911" ht="15.75" customHeight="1" spans="1:25">
      <c r="A911" s="88"/>
      <c r="B911" s="69"/>
      <c r="C911" s="90"/>
      <c r="D911" s="69"/>
      <c r="E911" s="69"/>
      <c r="F911" s="69"/>
      <c r="G911" s="69"/>
      <c r="H911" s="70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</row>
    <row r="912" ht="15.75" customHeight="1" spans="1:25">
      <c r="A912" s="88"/>
      <c r="B912" s="69"/>
      <c r="C912" s="90"/>
      <c r="D912" s="69"/>
      <c r="E912" s="69"/>
      <c r="F912" s="69"/>
      <c r="G912" s="69"/>
      <c r="H912" s="70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</row>
    <row r="913" ht="15.75" customHeight="1" spans="1:25">
      <c r="A913" s="88"/>
      <c r="B913" s="69"/>
      <c r="C913" s="90"/>
      <c r="D913" s="69"/>
      <c r="E913" s="69"/>
      <c r="F913" s="69"/>
      <c r="G913" s="69"/>
      <c r="H913" s="70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</row>
    <row r="914" ht="15.75" customHeight="1" spans="1:25">
      <c r="A914" s="88"/>
      <c r="B914" s="69"/>
      <c r="C914" s="90"/>
      <c r="D914" s="69"/>
      <c r="E914" s="69"/>
      <c r="F914" s="69"/>
      <c r="G914" s="69"/>
      <c r="H914" s="70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</row>
    <row r="915" ht="15.75" customHeight="1" spans="1:25">
      <c r="A915" s="88"/>
      <c r="B915" s="69"/>
      <c r="C915" s="90"/>
      <c r="D915" s="69"/>
      <c r="E915" s="69"/>
      <c r="F915" s="69"/>
      <c r="G915" s="69"/>
      <c r="H915" s="70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</row>
    <row r="916" ht="15.75" customHeight="1" spans="1:25">
      <c r="A916" s="88"/>
      <c r="B916" s="69"/>
      <c r="C916" s="90"/>
      <c r="D916" s="69"/>
      <c r="E916" s="69"/>
      <c r="F916" s="69"/>
      <c r="G916" s="69"/>
      <c r="H916" s="70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</row>
    <row r="917" ht="15.75" customHeight="1" spans="1:25">
      <c r="A917" s="88"/>
      <c r="B917" s="69"/>
      <c r="C917" s="90"/>
      <c r="D917" s="69"/>
      <c r="E917" s="69"/>
      <c r="F917" s="69"/>
      <c r="G917" s="69"/>
      <c r="H917" s="70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</row>
    <row r="918" ht="15.75" customHeight="1" spans="1:25">
      <c r="A918" s="88"/>
      <c r="B918" s="69"/>
      <c r="C918" s="90"/>
      <c r="D918" s="69"/>
      <c r="E918" s="69"/>
      <c r="F918" s="69"/>
      <c r="G918" s="69"/>
      <c r="H918" s="70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</row>
    <row r="919" ht="15.75" customHeight="1" spans="1:25">
      <c r="A919" s="88"/>
      <c r="B919" s="69"/>
      <c r="C919" s="90"/>
      <c r="D919" s="69"/>
      <c r="E919" s="69"/>
      <c r="F919" s="69"/>
      <c r="G919" s="69"/>
      <c r="H919" s="70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</row>
    <row r="920" ht="15.75" customHeight="1" spans="1:25">
      <c r="A920" s="88"/>
      <c r="B920" s="69"/>
      <c r="C920" s="90"/>
      <c r="D920" s="69"/>
      <c r="E920" s="69"/>
      <c r="F920" s="69"/>
      <c r="G920" s="69"/>
      <c r="H920" s="70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</row>
    <row r="921" ht="15.75" customHeight="1" spans="1:25">
      <c r="A921" s="88"/>
      <c r="B921" s="69"/>
      <c r="C921" s="90"/>
      <c r="D921" s="69"/>
      <c r="E921" s="69"/>
      <c r="F921" s="69"/>
      <c r="G921" s="69"/>
      <c r="H921" s="70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</row>
    <row r="922" ht="15.75" customHeight="1" spans="1:25">
      <c r="A922" s="88"/>
      <c r="B922" s="69"/>
      <c r="C922" s="90"/>
      <c r="D922" s="69"/>
      <c r="E922" s="69"/>
      <c r="F922" s="69"/>
      <c r="G922" s="69"/>
      <c r="H922" s="70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</row>
    <row r="923" ht="15.75" customHeight="1" spans="1:25">
      <c r="A923" s="88"/>
      <c r="B923" s="69"/>
      <c r="C923" s="90"/>
      <c r="D923" s="69"/>
      <c r="E923" s="69"/>
      <c r="F923" s="69"/>
      <c r="G923" s="69"/>
      <c r="H923" s="70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</row>
    <row r="924" ht="15.75" customHeight="1" spans="1:25">
      <c r="A924" s="88"/>
      <c r="B924" s="69"/>
      <c r="C924" s="90"/>
      <c r="D924" s="69"/>
      <c r="E924" s="69"/>
      <c r="F924" s="69"/>
      <c r="G924" s="69"/>
      <c r="H924" s="70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</row>
    <row r="925" ht="15.75" customHeight="1" spans="1:25">
      <c r="A925" s="88"/>
      <c r="B925" s="69"/>
      <c r="C925" s="90"/>
      <c r="D925" s="69"/>
      <c r="E925" s="69"/>
      <c r="F925" s="69"/>
      <c r="G925" s="69"/>
      <c r="H925" s="70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</row>
    <row r="926" ht="15.75" customHeight="1" spans="1:25">
      <c r="A926" s="88"/>
      <c r="B926" s="69"/>
      <c r="C926" s="90"/>
      <c r="D926" s="69"/>
      <c r="E926" s="69"/>
      <c r="F926" s="69"/>
      <c r="G926" s="69"/>
      <c r="H926" s="70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</row>
    <row r="927" ht="15.75" customHeight="1" spans="1:25">
      <c r="A927" s="88"/>
      <c r="B927" s="69"/>
      <c r="C927" s="90"/>
      <c r="D927" s="69"/>
      <c r="E927" s="69"/>
      <c r="F927" s="69"/>
      <c r="G927" s="69"/>
      <c r="H927" s="70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</row>
    <row r="928" ht="15.75" customHeight="1" spans="1:25">
      <c r="A928" s="88"/>
      <c r="B928" s="69"/>
      <c r="C928" s="90"/>
      <c r="D928" s="69"/>
      <c r="E928" s="69"/>
      <c r="F928" s="69"/>
      <c r="G928" s="69"/>
      <c r="H928" s="70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</row>
    <row r="929" ht="15.75" customHeight="1" spans="1:25">
      <c r="A929" s="88"/>
      <c r="B929" s="69"/>
      <c r="C929" s="90"/>
      <c r="D929" s="69"/>
      <c r="E929" s="69"/>
      <c r="F929" s="69"/>
      <c r="G929" s="69"/>
      <c r="H929" s="70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</row>
    <row r="930" ht="15.75" customHeight="1" spans="1:25">
      <c r="A930" s="88"/>
      <c r="B930" s="69"/>
      <c r="C930" s="90"/>
      <c r="D930" s="69"/>
      <c r="E930" s="69"/>
      <c r="F930" s="69"/>
      <c r="G930" s="69"/>
      <c r="H930" s="70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</row>
    <row r="931" ht="15.75" customHeight="1" spans="1:25">
      <c r="A931" s="88"/>
      <c r="B931" s="69"/>
      <c r="C931" s="90"/>
      <c r="D931" s="69"/>
      <c r="E931" s="69"/>
      <c r="F931" s="69"/>
      <c r="G931" s="69"/>
      <c r="H931" s="70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</row>
    <row r="932" ht="15.75" customHeight="1" spans="1:25">
      <c r="A932" s="88"/>
      <c r="B932" s="69"/>
      <c r="C932" s="90"/>
      <c r="D932" s="69"/>
      <c r="E932" s="69"/>
      <c r="F932" s="69"/>
      <c r="G932" s="69"/>
      <c r="H932" s="70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</row>
    <row r="933" ht="15.75" customHeight="1" spans="1:25">
      <c r="A933" s="88"/>
      <c r="B933" s="69"/>
      <c r="C933" s="90"/>
      <c r="D933" s="69"/>
      <c r="E933" s="69"/>
      <c r="F933" s="69"/>
      <c r="G933" s="69"/>
      <c r="H933" s="70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</row>
    <row r="934" ht="15.75" customHeight="1" spans="1:25">
      <c r="A934" s="88"/>
      <c r="B934" s="69"/>
      <c r="C934" s="90"/>
      <c r="D934" s="69"/>
      <c r="E934" s="69"/>
      <c r="F934" s="69"/>
      <c r="G934" s="69"/>
      <c r="H934" s="70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</row>
    <row r="935" ht="15.75" customHeight="1" spans="1:25">
      <c r="A935" s="88"/>
      <c r="B935" s="69"/>
      <c r="C935" s="90"/>
      <c r="D935" s="69"/>
      <c r="E935" s="69"/>
      <c r="F935" s="69"/>
      <c r="G935" s="69"/>
      <c r="H935" s="70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</row>
    <row r="936" ht="15.75" customHeight="1" spans="1:25">
      <c r="A936" s="88"/>
      <c r="B936" s="69"/>
      <c r="C936" s="90"/>
      <c r="D936" s="69"/>
      <c r="E936" s="69"/>
      <c r="F936" s="69"/>
      <c r="G936" s="69"/>
      <c r="H936" s="70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</row>
    <row r="937" ht="15.75" customHeight="1" spans="1:25">
      <c r="A937" s="88"/>
      <c r="B937" s="69"/>
      <c r="C937" s="90"/>
      <c r="D937" s="69"/>
      <c r="E937" s="69"/>
      <c r="F937" s="69"/>
      <c r="G937" s="69"/>
      <c r="H937" s="70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</row>
    <row r="938" ht="15.75" customHeight="1" spans="1:25">
      <c r="A938" s="88"/>
      <c r="B938" s="69"/>
      <c r="C938" s="90"/>
      <c r="D938" s="69"/>
      <c r="E938" s="69"/>
      <c r="F938" s="69"/>
      <c r="G938" s="69"/>
      <c r="H938" s="70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</row>
    <row r="939" ht="15.75" customHeight="1" spans="1:25">
      <c r="A939" s="88"/>
      <c r="B939" s="69"/>
      <c r="C939" s="90"/>
      <c r="D939" s="69"/>
      <c r="E939" s="69"/>
      <c r="F939" s="69"/>
      <c r="G939" s="69"/>
      <c r="H939" s="70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</row>
    <row r="940" ht="15.75" customHeight="1" spans="1:25">
      <c r="A940" s="88"/>
      <c r="B940" s="69"/>
      <c r="C940" s="90"/>
      <c r="D940" s="69"/>
      <c r="E940" s="69"/>
      <c r="F940" s="69"/>
      <c r="G940" s="69"/>
      <c r="H940" s="70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</row>
    <row r="941" ht="15.75" customHeight="1" spans="1:25">
      <c r="A941" s="88"/>
      <c r="B941" s="69"/>
      <c r="C941" s="90"/>
      <c r="D941" s="69"/>
      <c r="E941" s="69"/>
      <c r="F941" s="69"/>
      <c r="G941" s="69"/>
      <c r="H941" s="70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</row>
    <row r="942" ht="15.75" customHeight="1" spans="1:25">
      <c r="A942" s="88"/>
      <c r="B942" s="69"/>
      <c r="C942" s="90"/>
      <c r="D942" s="69"/>
      <c r="E942" s="69"/>
      <c r="F942" s="69"/>
      <c r="G942" s="69"/>
      <c r="H942" s="70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</row>
    <row r="943" ht="15.75" customHeight="1" spans="1:25">
      <c r="A943" s="88"/>
      <c r="B943" s="69"/>
      <c r="C943" s="90"/>
      <c r="D943" s="69"/>
      <c r="E943" s="69"/>
      <c r="F943" s="69"/>
      <c r="G943" s="69"/>
      <c r="H943" s="70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</row>
    <row r="944" ht="15.75" customHeight="1" spans="1:25">
      <c r="A944" s="88"/>
      <c r="B944" s="69"/>
      <c r="C944" s="90"/>
      <c r="D944" s="69"/>
      <c r="E944" s="69"/>
      <c r="F944" s="69"/>
      <c r="G944" s="69"/>
      <c r="H944" s="70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</row>
    <row r="945" ht="15.75" customHeight="1" spans="1:25">
      <c r="A945" s="88"/>
      <c r="B945" s="69"/>
      <c r="C945" s="90"/>
      <c r="D945" s="69"/>
      <c r="E945" s="69"/>
      <c r="F945" s="69"/>
      <c r="G945" s="69"/>
      <c r="H945" s="70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</row>
    <row r="946" ht="15.75" customHeight="1" spans="1:25">
      <c r="A946" s="88"/>
      <c r="B946" s="69"/>
      <c r="C946" s="90"/>
      <c r="D946" s="69"/>
      <c r="E946" s="69"/>
      <c r="F946" s="69"/>
      <c r="G946" s="69"/>
      <c r="H946" s="70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</row>
    <row r="947" ht="15.75" customHeight="1" spans="1:25">
      <c r="A947" s="88"/>
      <c r="B947" s="69"/>
      <c r="C947" s="90"/>
      <c r="D947" s="69"/>
      <c r="E947" s="69"/>
      <c r="F947" s="69"/>
      <c r="G947" s="69"/>
      <c r="H947" s="70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</row>
    <row r="948" ht="15.75" customHeight="1" spans="1:25">
      <c r="A948" s="88"/>
      <c r="B948" s="69"/>
      <c r="C948" s="90"/>
      <c r="D948" s="69"/>
      <c r="E948" s="69"/>
      <c r="F948" s="69"/>
      <c r="G948" s="69"/>
      <c r="H948" s="70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</row>
    <row r="949" ht="15.75" customHeight="1" spans="1:25">
      <c r="A949" s="88"/>
      <c r="B949" s="69"/>
      <c r="C949" s="90"/>
      <c r="D949" s="69"/>
      <c r="E949" s="69"/>
      <c r="F949" s="69"/>
      <c r="G949" s="69"/>
      <c r="H949" s="70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</row>
    <row r="950" ht="15.75" customHeight="1" spans="1:25">
      <c r="A950" s="88"/>
      <c r="B950" s="69"/>
      <c r="C950" s="90"/>
      <c r="D950" s="69"/>
      <c r="E950" s="69"/>
      <c r="F950" s="69"/>
      <c r="G950" s="69"/>
      <c r="H950" s="70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</row>
    <row r="951" ht="15.75" customHeight="1" spans="1:25">
      <c r="A951" s="88"/>
      <c r="B951" s="69"/>
      <c r="C951" s="90"/>
      <c r="D951" s="69"/>
      <c r="E951" s="69"/>
      <c r="F951" s="69"/>
      <c r="G951" s="69"/>
      <c r="H951" s="70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</row>
    <row r="952" ht="15.75" customHeight="1" spans="1:25">
      <c r="A952" s="88"/>
      <c r="B952" s="69"/>
      <c r="C952" s="90"/>
      <c r="D952" s="69"/>
      <c r="E952" s="69"/>
      <c r="F952" s="69"/>
      <c r="G952" s="69"/>
      <c r="H952" s="70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</row>
    <row r="953" ht="15.75" customHeight="1" spans="1:25">
      <c r="A953" s="88"/>
      <c r="B953" s="69"/>
      <c r="C953" s="90"/>
      <c r="D953" s="69"/>
      <c r="E953" s="69"/>
      <c r="F953" s="69"/>
      <c r="G953" s="69"/>
      <c r="H953" s="70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</row>
    <row r="954" ht="15.75" customHeight="1" spans="1:25">
      <c r="A954" s="88"/>
      <c r="B954" s="69"/>
      <c r="C954" s="90"/>
      <c r="D954" s="69"/>
      <c r="E954" s="69"/>
      <c r="F954" s="69"/>
      <c r="G954" s="69"/>
      <c r="H954" s="70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</row>
    <row r="955" ht="15.75" customHeight="1" spans="1:25">
      <c r="A955" s="88"/>
      <c r="B955" s="69"/>
      <c r="C955" s="90"/>
      <c r="D955" s="69"/>
      <c r="E955" s="69"/>
      <c r="F955" s="69"/>
      <c r="G955" s="69"/>
      <c r="H955" s="70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</row>
    <row r="956" ht="15.75" customHeight="1" spans="1:25">
      <c r="A956" s="88"/>
      <c r="B956" s="69"/>
      <c r="C956" s="90"/>
      <c r="D956" s="69"/>
      <c r="E956" s="69"/>
      <c r="F956" s="69"/>
      <c r="G956" s="69"/>
      <c r="H956" s="70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</row>
    <row r="957" ht="15.75" customHeight="1" spans="1:25">
      <c r="A957" s="88"/>
      <c r="B957" s="69"/>
      <c r="C957" s="90"/>
      <c r="D957" s="69"/>
      <c r="E957" s="69"/>
      <c r="F957" s="69"/>
      <c r="G957" s="69"/>
      <c r="H957" s="70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</row>
    <row r="958" ht="15.75" customHeight="1" spans="1:25">
      <c r="A958" s="88"/>
      <c r="B958" s="69"/>
      <c r="C958" s="90"/>
      <c r="D958" s="69"/>
      <c r="E958" s="69"/>
      <c r="F958" s="69"/>
      <c r="G958" s="69"/>
      <c r="H958" s="70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</row>
    <row r="959" ht="15.75" customHeight="1" spans="1:25">
      <c r="A959" s="88"/>
      <c r="B959" s="69"/>
      <c r="C959" s="90"/>
      <c r="D959" s="69"/>
      <c r="E959" s="69"/>
      <c r="F959" s="69"/>
      <c r="G959" s="69"/>
      <c r="H959" s="70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</row>
    <row r="960" ht="15.75" customHeight="1" spans="1:25">
      <c r="A960" s="88"/>
      <c r="B960" s="69"/>
      <c r="C960" s="90"/>
      <c r="D960" s="69"/>
      <c r="E960" s="69"/>
      <c r="F960" s="69"/>
      <c r="G960" s="69"/>
      <c r="H960" s="70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</row>
    <row r="961" ht="15.75" customHeight="1" spans="1:25">
      <c r="A961" s="88"/>
      <c r="B961" s="69"/>
      <c r="C961" s="90"/>
      <c r="D961" s="69"/>
      <c r="E961" s="69"/>
      <c r="F961" s="69"/>
      <c r="G961" s="69"/>
      <c r="H961" s="70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</row>
    <row r="962" ht="15.75" customHeight="1" spans="1:25">
      <c r="A962" s="88"/>
      <c r="B962" s="69"/>
      <c r="C962" s="90"/>
      <c r="D962" s="69"/>
      <c r="E962" s="69"/>
      <c r="F962" s="69"/>
      <c r="G962" s="69"/>
      <c r="H962" s="70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</row>
    <row r="963" ht="15.75" customHeight="1" spans="1:25">
      <c r="A963" s="88"/>
      <c r="B963" s="69"/>
      <c r="C963" s="90"/>
      <c r="D963" s="69"/>
      <c r="E963" s="69"/>
      <c r="F963" s="69"/>
      <c r="G963" s="69"/>
      <c r="H963" s="70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</row>
    <row r="964" ht="15.75" customHeight="1" spans="1:25">
      <c r="A964" s="88"/>
      <c r="B964" s="69"/>
      <c r="C964" s="90"/>
      <c r="D964" s="69"/>
      <c r="E964" s="69"/>
      <c r="F964" s="69"/>
      <c r="G964" s="69"/>
      <c r="H964" s="70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</row>
    <row r="965" ht="15.75" customHeight="1" spans="1:25">
      <c r="A965" s="88"/>
      <c r="B965" s="69"/>
      <c r="C965" s="90"/>
      <c r="D965" s="69"/>
      <c r="E965" s="69"/>
      <c r="F965" s="69"/>
      <c r="G965" s="69"/>
      <c r="H965" s="70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</row>
    <row r="966" ht="15.75" customHeight="1" spans="1:25">
      <c r="A966" s="88"/>
      <c r="B966" s="69"/>
      <c r="C966" s="90"/>
      <c r="D966" s="69"/>
      <c r="E966" s="69"/>
      <c r="F966" s="69"/>
      <c r="G966" s="69"/>
      <c r="H966" s="70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</row>
    <row r="967" ht="15.75" customHeight="1" spans="1:25">
      <c r="A967" s="88"/>
      <c r="B967" s="69"/>
      <c r="C967" s="90"/>
      <c r="D967" s="69"/>
      <c r="E967" s="69"/>
      <c r="F967" s="69"/>
      <c r="G967" s="69"/>
      <c r="H967" s="70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</row>
    <row r="968" ht="15.75" customHeight="1" spans="1:25">
      <c r="A968" s="88"/>
      <c r="B968" s="69"/>
      <c r="C968" s="90"/>
      <c r="D968" s="69"/>
      <c r="E968" s="69"/>
      <c r="F968" s="69"/>
      <c r="G968" s="69"/>
      <c r="H968" s="70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</row>
    <row r="969" ht="15.75" customHeight="1" spans="1:25">
      <c r="A969" s="88"/>
      <c r="B969" s="69"/>
      <c r="C969" s="90"/>
      <c r="D969" s="69"/>
      <c r="E969" s="69"/>
      <c r="F969" s="69"/>
      <c r="G969" s="69"/>
      <c r="H969" s="70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</row>
    <row r="970" ht="15.75" customHeight="1" spans="1:25">
      <c r="A970" s="88"/>
      <c r="B970" s="69"/>
      <c r="C970" s="90"/>
      <c r="D970" s="69"/>
      <c r="E970" s="69"/>
      <c r="F970" s="69"/>
      <c r="G970" s="69"/>
      <c r="H970" s="70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</row>
    <row r="971" ht="15.75" customHeight="1" spans="1:25">
      <c r="A971" s="88"/>
      <c r="B971" s="69"/>
      <c r="C971" s="90"/>
      <c r="D971" s="69"/>
      <c r="E971" s="69"/>
      <c r="F971" s="69"/>
      <c r="G971" s="69"/>
      <c r="H971" s="70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</row>
    <row r="972" ht="15.75" customHeight="1" spans="1:25">
      <c r="A972" s="88"/>
      <c r="B972" s="69"/>
      <c r="C972" s="90"/>
      <c r="D972" s="69"/>
      <c r="E972" s="69"/>
      <c r="F972" s="69"/>
      <c r="G972" s="69"/>
      <c r="H972" s="70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</row>
    <row r="973" ht="15.75" customHeight="1" spans="1:25">
      <c r="A973" s="88"/>
      <c r="B973" s="69"/>
      <c r="C973" s="90"/>
      <c r="D973" s="69"/>
      <c r="E973" s="69"/>
      <c r="F973" s="69"/>
      <c r="G973" s="69"/>
      <c r="H973" s="70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</row>
    <row r="974" ht="15.75" customHeight="1" spans="1:25">
      <c r="A974" s="88"/>
      <c r="B974" s="69"/>
      <c r="C974" s="90"/>
      <c r="D974" s="69"/>
      <c r="E974" s="69"/>
      <c r="F974" s="69"/>
      <c r="G974" s="69"/>
      <c r="H974" s="70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</row>
    <row r="975" ht="15.75" customHeight="1" spans="1:25">
      <c r="A975" s="88"/>
      <c r="B975" s="69"/>
      <c r="C975" s="90"/>
      <c r="D975" s="69"/>
      <c r="E975" s="69"/>
      <c r="F975" s="69"/>
      <c r="G975" s="69"/>
      <c r="H975" s="70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</row>
    <row r="976" ht="15.75" customHeight="1" spans="1:25">
      <c r="A976" s="88"/>
      <c r="B976" s="69"/>
      <c r="C976" s="90"/>
      <c r="D976" s="69"/>
      <c r="E976" s="69"/>
      <c r="F976" s="69"/>
      <c r="G976" s="69"/>
      <c r="H976" s="70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</row>
    <row r="977" ht="15.75" customHeight="1" spans="1:25">
      <c r="A977" s="88"/>
      <c r="B977" s="69"/>
      <c r="C977" s="90"/>
      <c r="D977" s="69"/>
      <c r="E977" s="69"/>
      <c r="F977" s="69"/>
      <c r="G977" s="69"/>
      <c r="H977" s="70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</row>
    <row r="978" ht="15.75" customHeight="1" spans="1:25">
      <c r="A978" s="88"/>
      <c r="B978" s="69"/>
      <c r="C978" s="90"/>
      <c r="D978" s="69"/>
      <c r="E978" s="69"/>
      <c r="F978" s="69"/>
      <c r="G978" s="69"/>
      <c r="H978" s="70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</row>
    <row r="979" ht="15.75" customHeight="1" spans="1:25">
      <c r="A979" s="88"/>
      <c r="B979" s="69"/>
      <c r="C979" s="90"/>
      <c r="D979" s="69"/>
      <c r="E979" s="69"/>
      <c r="F979" s="69"/>
      <c r="G979" s="69"/>
      <c r="H979" s="70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</row>
    <row r="980" ht="15.75" customHeight="1" spans="1:25">
      <c r="A980" s="88"/>
      <c r="B980" s="69"/>
      <c r="C980" s="90"/>
      <c r="D980" s="69"/>
      <c r="E980" s="69"/>
      <c r="F980" s="69"/>
      <c r="G980" s="69"/>
      <c r="H980" s="70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</row>
    <row r="981" ht="15.75" customHeight="1" spans="1:25">
      <c r="A981" s="88"/>
      <c r="B981" s="69"/>
      <c r="C981" s="90"/>
      <c r="D981" s="69"/>
      <c r="E981" s="69"/>
      <c r="F981" s="69"/>
      <c r="G981" s="69"/>
      <c r="H981" s="70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</row>
    <row r="982" ht="15.75" customHeight="1" spans="1:25">
      <c r="A982" s="88"/>
      <c r="B982" s="69"/>
      <c r="C982" s="90"/>
      <c r="D982" s="69"/>
      <c r="E982" s="69"/>
      <c r="F982" s="69"/>
      <c r="G982" s="69"/>
      <c r="H982" s="70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</row>
    <row r="983" ht="15.75" customHeight="1" spans="1:25">
      <c r="A983" s="88"/>
      <c r="B983" s="69"/>
      <c r="C983" s="90"/>
      <c r="D983" s="69"/>
      <c r="E983" s="69"/>
      <c r="F983" s="69"/>
      <c r="G983" s="69"/>
      <c r="H983" s="70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</row>
    <row r="984" ht="15.75" customHeight="1" spans="1:25">
      <c r="A984" s="88"/>
      <c r="B984" s="69"/>
      <c r="C984" s="90"/>
      <c r="D984" s="69"/>
      <c r="E984" s="69"/>
      <c r="F984" s="69"/>
      <c r="G984" s="69"/>
      <c r="H984" s="70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</row>
    <row r="985" ht="15.75" customHeight="1" spans="1:25">
      <c r="A985" s="88"/>
      <c r="B985" s="69"/>
      <c r="C985" s="90"/>
      <c r="D985" s="69"/>
      <c r="E985" s="69"/>
      <c r="F985" s="69"/>
      <c r="G985" s="69"/>
      <c r="H985" s="70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</row>
    <row r="986" ht="15.75" customHeight="1" spans="1:25">
      <c r="A986" s="88"/>
      <c r="B986" s="69"/>
      <c r="C986" s="90"/>
      <c r="D986" s="69"/>
      <c r="E986" s="69"/>
      <c r="F986" s="69"/>
      <c r="G986" s="69"/>
      <c r="H986" s="70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</row>
    <row r="987" ht="15.75" customHeight="1" spans="1:25">
      <c r="A987" s="88"/>
      <c r="B987" s="69"/>
      <c r="C987" s="90"/>
      <c r="D987" s="69"/>
      <c r="E987" s="69"/>
      <c r="F987" s="69"/>
      <c r="G987" s="69"/>
      <c r="H987" s="70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</row>
    <row r="988" ht="15.75" customHeight="1" spans="1:25">
      <c r="A988" s="88"/>
      <c r="B988" s="69"/>
      <c r="C988" s="90"/>
      <c r="D988" s="69"/>
      <c r="E988" s="69"/>
      <c r="F988" s="69"/>
      <c r="G988" s="69"/>
      <c r="H988" s="70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</row>
    <row r="989" ht="15.75" customHeight="1" spans="1:25">
      <c r="A989" s="88"/>
      <c r="B989" s="69"/>
      <c r="C989" s="90"/>
      <c r="D989" s="69"/>
      <c r="E989" s="69"/>
      <c r="F989" s="69"/>
      <c r="G989" s="69"/>
      <c r="H989" s="70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</row>
    <row r="990" ht="15.75" customHeight="1" spans="1:25">
      <c r="A990" s="88"/>
      <c r="B990" s="69"/>
      <c r="C990" s="90"/>
      <c r="D990" s="69"/>
      <c r="E990" s="69"/>
      <c r="F990" s="69"/>
      <c r="G990" s="69"/>
      <c r="H990" s="70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</row>
    <row r="991" ht="15.75" customHeight="1" spans="1:25">
      <c r="A991" s="88"/>
      <c r="B991" s="69"/>
      <c r="C991" s="90"/>
      <c r="D991" s="69"/>
      <c r="E991" s="69"/>
      <c r="F991" s="69"/>
      <c r="G991" s="69"/>
      <c r="H991" s="70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</row>
    <row r="992" ht="15.75" customHeight="1" spans="1:25">
      <c r="A992" s="88"/>
      <c r="B992" s="69"/>
      <c r="C992" s="90"/>
      <c r="D992" s="69"/>
      <c r="E992" s="69"/>
      <c r="F992" s="69"/>
      <c r="G992" s="69"/>
      <c r="H992" s="70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</row>
    <row r="993" ht="15.75" customHeight="1" spans="1:25">
      <c r="A993" s="88"/>
      <c r="B993" s="69"/>
      <c r="C993" s="90"/>
      <c r="D993" s="69"/>
      <c r="E993" s="69"/>
      <c r="F993" s="69"/>
      <c r="G993" s="69"/>
      <c r="H993" s="70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</row>
    <row r="994" ht="15.75" customHeight="1" spans="1:25">
      <c r="A994" s="88"/>
      <c r="B994" s="69"/>
      <c r="C994" s="90"/>
      <c r="D994" s="69"/>
      <c r="E994" s="69"/>
      <c r="F994" s="69"/>
      <c r="G994" s="69"/>
      <c r="H994" s="70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</row>
    <row r="995" ht="15.75" customHeight="1" spans="1:25">
      <c r="A995" s="88"/>
      <c r="B995" s="69"/>
      <c r="C995" s="90"/>
      <c r="D995" s="69"/>
      <c r="E995" s="69"/>
      <c r="F995" s="69"/>
      <c r="G995" s="69"/>
      <c r="H995" s="70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</row>
    <row r="996" ht="15.75" customHeight="1" spans="1:25">
      <c r="A996" s="88"/>
      <c r="B996" s="69"/>
      <c r="C996" s="90"/>
      <c r="D996" s="69"/>
      <c r="E996" s="69"/>
      <c r="F996" s="69"/>
      <c r="G996" s="69"/>
      <c r="H996" s="70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</row>
    <row r="997" ht="15.75" customHeight="1" spans="1:25">
      <c r="A997" s="88"/>
      <c r="B997" s="69"/>
      <c r="C997" s="90"/>
      <c r="D997" s="69"/>
      <c r="E997" s="69"/>
      <c r="F997" s="69"/>
      <c r="G997" s="69"/>
      <c r="H997" s="70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</row>
    <row r="998" ht="15.75" customHeight="1" spans="1:25">
      <c r="A998" s="88"/>
      <c r="B998" s="69"/>
      <c r="C998" s="90"/>
      <c r="D998" s="69"/>
      <c r="E998" s="69"/>
      <c r="F998" s="69"/>
      <c r="G998" s="69"/>
      <c r="H998" s="70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</row>
    <row r="999" ht="15.75" customHeight="1" spans="1:25">
      <c r="A999" s="88"/>
      <c r="B999" s="69"/>
      <c r="C999" s="90"/>
      <c r="D999" s="69"/>
      <c r="E999" s="69"/>
      <c r="F999" s="69"/>
      <c r="G999" s="69"/>
      <c r="H999" s="70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</row>
    <row r="1000" ht="15.75" customHeight="1" spans="1:25">
      <c r="A1000" s="88"/>
      <c r="B1000" s="69"/>
      <c r="C1000" s="90"/>
      <c r="D1000" s="69"/>
      <c r="E1000" s="69"/>
      <c r="F1000" s="69"/>
      <c r="G1000" s="69"/>
      <c r="H1000" s="70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</row>
    <row r="1001" ht="15.75" customHeight="1" spans="1:25">
      <c r="A1001" s="88"/>
      <c r="B1001" s="69"/>
      <c r="C1001" s="90"/>
      <c r="D1001" s="69"/>
      <c r="E1001" s="69"/>
      <c r="F1001" s="69"/>
      <c r="G1001" s="69"/>
      <c r="H1001" s="70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</row>
    <row r="1002" ht="15.75" customHeight="1" spans="1:25">
      <c r="A1002" s="88"/>
      <c r="B1002" s="69"/>
      <c r="C1002" s="90"/>
      <c r="D1002" s="69"/>
      <c r="E1002" s="69"/>
      <c r="F1002" s="69"/>
      <c r="G1002" s="69"/>
      <c r="H1002" s="70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</row>
    <row r="1003" ht="15.75" customHeight="1" spans="1:25">
      <c r="A1003" s="88"/>
      <c r="B1003" s="69"/>
      <c r="C1003" s="90"/>
      <c r="D1003" s="69"/>
      <c r="E1003" s="69"/>
      <c r="F1003" s="69"/>
      <c r="G1003" s="69"/>
      <c r="H1003" s="70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</row>
    <row r="1004" ht="15.75" customHeight="1" spans="1:25">
      <c r="A1004" s="88"/>
      <c r="B1004" s="69"/>
      <c r="C1004" s="90"/>
      <c r="D1004" s="69"/>
      <c r="E1004" s="69"/>
      <c r="F1004" s="69"/>
      <c r="G1004" s="69"/>
      <c r="H1004" s="70"/>
      <c r="I1004" s="69"/>
      <c r="J1004" s="69"/>
      <c r="K1004" s="69"/>
      <c r="L1004" s="69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</row>
    <row r="1005" ht="15.75" customHeight="1" spans="1:25">
      <c r="A1005" s="88"/>
      <c r="B1005" s="69"/>
      <c r="C1005" s="90"/>
      <c r="D1005" s="69"/>
      <c r="E1005" s="69"/>
      <c r="F1005" s="69"/>
      <c r="G1005" s="69"/>
      <c r="H1005" s="70"/>
      <c r="I1005" s="69"/>
      <c r="J1005" s="69"/>
      <c r="K1005" s="69"/>
      <c r="L1005" s="69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</row>
    <row r="1006" ht="15.75" customHeight="1" spans="1:25">
      <c r="A1006" s="88"/>
      <c r="B1006" s="69"/>
      <c r="C1006" s="90"/>
      <c r="D1006" s="69"/>
      <c r="E1006" s="69"/>
      <c r="F1006" s="69"/>
      <c r="G1006" s="69"/>
      <c r="H1006" s="70"/>
      <c r="I1006" s="69"/>
      <c r="J1006" s="69"/>
      <c r="K1006" s="69"/>
      <c r="L1006" s="69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</row>
    <row r="1007" ht="15.75" customHeight="1" spans="1:25">
      <c r="A1007" s="88"/>
      <c r="B1007" s="69"/>
      <c r="C1007" s="90"/>
      <c r="D1007" s="69"/>
      <c r="E1007" s="69"/>
      <c r="F1007" s="69"/>
      <c r="G1007" s="69"/>
      <c r="H1007" s="70"/>
      <c r="I1007" s="69"/>
      <c r="J1007" s="69"/>
      <c r="K1007" s="69"/>
      <c r="L1007" s="69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</row>
    <row r="1008" ht="15.75" customHeight="1" spans="1:25">
      <c r="A1008" s="88"/>
      <c r="B1008" s="69"/>
      <c r="C1008" s="90"/>
      <c r="D1008" s="69"/>
      <c r="E1008" s="69"/>
      <c r="F1008" s="69"/>
      <c r="G1008" s="69"/>
      <c r="H1008" s="70"/>
      <c r="I1008" s="69"/>
      <c r="J1008" s="69"/>
      <c r="K1008" s="69"/>
      <c r="L1008" s="69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</row>
    <row r="1009" ht="15.75" customHeight="1" spans="1:25">
      <c r="A1009" s="88"/>
      <c r="B1009" s="69"/>
      <c r="C1009" s="90"/>
      <c r="D1009" s="69"/>
      <c r="E1009" s="69"/>
      <c r="F1009" s="69"/>
      <c r="G1009" s="69"/>
      <c r="H1009" s="70"/>
      <c r="I1009" s="69"/>
      <c r="J1009" s="69"/>
      <c r="K1009" s="69"/>
      <c r="L1009" s="69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</row>
    <row r="1010" ht="15.75" customHeight="1" spans="1:25">
      <c r="A1010" s="88"/>
      <c r="B1010" s="69"/>
      <c r="C1010" s="90"/>
      <c r="D1010" s="69"/>
      <c r="E1010" s="69"/>
      <c r="F1010" s="69"/>
      <c r="G1010" s="69"/>
      <c r="H1010" s="70"/>
      <c r="I1010" s="69"/>
      <c r="J1010" s="69"/>
      <c r="K1010" s="69"/>
      <c r="L1010" s="69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</row>
    <row r="1011" ht="15.75" customHeight="1" spans="1:25">
      <c r="A1011" s="88"/>
      <c r="B1011" s="69"/>
      <c r="C1011" s="90"/>
      <c r="D1011" s="69"/>
      <c r="E1011" s="69"/>
      <c r="F1011" s="69"/>
      <c r="G1011" s="69"/>
      <c r="H1011" s="70"/>
      <c r="I1011" s="69"/>
      <c r="J1011" s="69"/>
      <c r="K1011" s="69"/>
      <c r="L1011" s="69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</row>
    <row r="1012" ht="15.75" customHeight="1" spans="1:25">
      <c r="A1012" s="88"/>
      <c r="B1012" s="69"/>
      <c r="C1012" s="90"/>
      <c r="D1012" s="69"/>
      <c r="E1012" s="69"/>
      <c r="F1012" s="69"/>
      <c r="G1012" s="69"/>
      <c r="H1012" s="70"/>
      <c r="I1012" s="69"/>
      <c r="J1012" s="69"/>
      <c r="K1012" s="69"/>
      <c r="L1012" s="69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</row>
    <row r="1013" ht="15.75" customHeight="1" spans="1:25">
      <c r="A1013" s="88"/>
      <c r="B1013" s="69"/>
      <c r="C1013" s="90"/>
      <c r="D1013" s="69"/>
      <c r="E1013" s="69"/>
      <c r="F1013" s="69"/>
      <c r="G1013" s="69"/>
      <c r="H1013" s="70"/>
      <c r="I1013" s="69"/>
      <c r="J1013" s="69"/>
      <c r="K1013" s="69"/>
      <c r="L1013" s="69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</row>
    <row r="1014" ht="15.75" customHeight="1" spans="1:25">
      <c r="A1014" s="88"/>
      <c r="B1014" s="69"/>
      <c r="C1014" s="90"/>
      <c r="D1014" s="69"/>
      <c r="E1014" s="69"/>
      <c r="F1014" s="69"/>
      <c r="G1014" s="69"/>
      <c r="H1014" s="70"/>
      <c r="I1014" s="69"/>
      <c r="J1014" s="69"/>
      <c r="K1014" s="69"/>
      <c r="L1014" s="69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</row>
    <row r="1015" ht="15.75" customHeight="1" spans="1:25">
      <c r="A1015" s="88"/>
      <c r="B1015" s="69"/>
      <c r="C1015" s="90"/>
      <c r="D1015" s="69"/>
      <c r="E1015" s="69"/>
      <c r="F1015" s="69"/>
      <c r="G1015" s="69"/>
      <c r="H1015" s="70"/>
      <c r="I1015" s="69"/>
      <c r="J1015" s="69"/>
      <c r="K1015" s="69"/>
      <c r="L1015" s="69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</row>
    <row r="1016" ht="15.75" customHeight="1" spans="1:25">
      <c r="A1016" s="88"/>
      <c r="B1016" s="69"/>
      <c r="C1016" s="90"/>
      <c r="D1016" s="69"/>
      <c r="E1016" s="69"/>
      <c r="F1016" s="69"/>
      <c r="G1016" s="69"/>
      <c r="H1016" s="70"/>
      <c r="I1016" s="69"/>
      <c r="J1016" s="69"/>
      <c r="K1016" s="69"/>
      <c r="L1016" s="69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</row>
    <row r="1017" ht="15.75" customHeight="1" spans="1:25">
      <c r="A1017" s="88"/>
      <c r="B1017" s="69"/>
      <c r="C1017" s="90"/>
      <c r="D1017" s="69"/>
      <c r="E1017" s="69"/>
      <c r="F1017" s="69"/>
      <c r="G1017" s="69"/>
      <c r="H1017" s="70"/>
      <c r="I1017" s="69"/>
      <c r="J1017" s="69"/>
      <c r="K1017" s="69"/>
      <c r="L1017" s="69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</row>
    <row r="1018" ht="15.75" customHeight="1" spans="1:25">
      <c r="A1018" s="88"/>
      <c r="B1018" s="69"/>
      <c r="C1018" s="90"/>
      <c r="D1018" s="69"/>
      <c r="E1018" s="69"/>
      <c r="F1018" s="69"/>
      <c r="G1018" s="69"/>
      <c r="H1018" s="70"/>
      <c r="I1018" s="69"/>
      <c r="J1018" s="69"/>
      <c r="K1018" s="69"/>
      <c r="L1018" s="69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</row>
    <row r="1019" ht="15.75" customHeight="1" spans="1:25">
      <c r="A1019" s="88"/>
      <c r="B1019" s="69"/>
      <c r="C1019" s="90"/>
      <c r="D1019" s="69"/>
      <c r="E1019" s="69"/>
      <c r="F1019" s="69"/>
      <c r="G1019" s="69"/>
      <c r="H1019" s="70"/>
      <c r="I1019" s="69"/>
      <c r="J1019" s="69"/>
      <c r="K1019" s="69"/>
      <c r="L1019" s="69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</row>
    <row r="1020" ht="15.75" customHeight="1" spans="1:25">
      <c r="A1020" s="88"/>
      <c r="B1020" s="69"/>
      <c r="C1020" s="90"/>
      <c r="D1020" s="69"/>
      <c r="E1020" s="69"/>
      <c r="F1020" s="69"/>
      <c r="G1020" s="69"/>
      <c r="H1020" s="70"/>
      <c r="I1020" s="69"/>
      <c r="J1020" s="69"/>
      <c r="K1020" s="69"/>
      <c r="L1020" s="69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</row>
    <row r="1021" ht="15.75" customHeight="1" spans="1:25">
      <c r="A1021" s="88"/>
      <c r="B1021" s="69"/>
      <c r="C1021" s="90"/>
      <c r="D1021" s="69"/>
      <c r="E1021" s="69"/>
      <c r="F1021" s="69"/>
      <c r="G1021" s="69"/>
      <c r="H1021" s="70"/>
      <c r="I1021" s="69"/>
      <c r="J1021" s="69"/>
      <c r="K1021" s="69"/>
      <c r="L1021" s="69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</row>
    <row r="1022" ht="15.75" customHeight="1" spans="1:25">
      <c r="A1022" s="88"/>
      <c r="B1022" s="69"/>
      <c r="C1022" s="90"/>
      <c r="D1022" s="69"/>
      <c r="E1022" s="69"/>
      <c r="F1022" s="69"/>
      <c r="G1022" s="69"/>
      <c r="H1022" s="70"/>
      <c r="I1022" s="69"/>
      <c r="J1022" s="69"/>
      <c r="K1022" s="69"/>
      <c r="L1022" s="69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</row>
    <row r="1023" ht="15.75" customHeight="1" spans="1:25">
      <c r="A1023" s="88"/>
      <c r="B1023" s="69"/>
      <c r="C1023" s="90"/>
      <c r="D1023" s="69"/>
      <c r="E1023" s="69"/>
      <c r="F1023" s="69"/>
      <c r="G1023" s="69"/>
      <c r="H1023" s="70"/>
      <c r="I1023" s="69"/>
      <c r="J1023" s="69"/>
      <c r="K1023" s="69"/>
      <c r="L1023" s="69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</row>
    <row r="1024" ht="15.75" customHeight="1" spans="1:25">
      <c r="A1024" s="88"/>
      <c r="B1024" s="69"/>
      <c r="C1024" s="90"/>
      <c r="D1024" s="69"/>
      <c r="E1024" s="69"/>
      <c r="F1024" s="69"/>
      <c r="G1024" s="69"/>
      <c r="H1024" s="70"/>
      <c r="I1024" s="69"/>
      <c r="J1024" s="69"/>
      <c r="K1024" s="69"/>
      <c r="L1024" s="69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</row>
    <row r="1025" ht="15.75" customHeight="1" spans="1:25">
      <c r="A1025" s="88"/>
      <c r="B1025" s="69"/>
      <c r="C1025" s="90"/>
      <c r="D1025" s="69"/>
      <c r="E1025" s="69"/>
      <c r="F1025" s="69"/>
      <c r="G1025" s="69"/>
      <c r="H1025" s="70"/>
      <c r="I1025" s="69"/>
      <c r="J1025" s="69"/>
      <c r="K1025" s="69"/>
      <c r="L1025" s="69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</row>
    <row r="1026" ht="15.75" customHeight="1" spans="1:25">
      <c r="A1026" s="88"/>
      <c r="B1026" s="69"/>
      <c r="C1026" s="90"/>
      <c r="D1026" s="69"/>
      <c r="E1026" s="69"/>
      <c r="F1026" s="69"/>
      <c r="G1026" s="69"/>
      <c r="H1026" s="70"/>
      <c r="I1026" s="69"/>
      <c r="J1026" s="69"/>
      <c r="K1026" s="69"/>
      <c r="L1026" s="69"/>
      <c r="M1026" s="69"/>
      <c r="N1026" s="69"/>
      <c r="O1026" s="69"/>
      <c r="P1026" s="69"/>
      <c r="Q1026" s="69"/>
      <c r="R1026" s="69"/>
      <c r="S1026" s="69"/>
      <c r="T1026" s="69"/>
      <c r="U1026" s="69"/>
      <c r="V1026" s="69"/>
      <c r="W1026" s="69"/>
      <c r="X1026" s="69"/>
      <c r="Y1026" s="69"/>
    </row>
    <row r="1027" ht="15.75" customHeight="1" spans="1:25">
      <c r="A1027" s="88"/>
      <c r="B1027" s="69"/>
      <c r="C1027" s="90"/>
      <c r="D1027" s="69"/>
      <c r="E1027" s="69"/>
      <c r="F1027" s="69"/>
      <c r="G1027" s="69"/>
      <c r="H1027" s="70"/>
      <c r="I1027" s="69"/>
      <c r="J1027" s="69"/>
      <c r="K1027" s="69"/>
      <c r="L1027" s="69"/>
      <c r="M1027" s="69"/>
      <c r="N1027" s="69"/>
      <c r="O1027" s="69"/>
      <c r="P1027" s="69"/>
      <c r="Q1027" s="69"/>
      <c r="R1027" s="69"/>
      <c r="S1027" s="69"/>
      <c r="T1027" s="69"/>
      <c r="U1027" s="69"/>
      <c r="V1027" s="69"/>
      <c r="W1027" s="69"/>
      <c r="X1027" s="69"/>
      <c r="Y1027" s="69"/>
    </row>
    <row r="1028" ht="15.75" customHeight="1" spans="1:25">
      <c r="A1028" s="88"/>
      <c r="B1028" s="69"/>
      <c r="C1028" s="90"/>
      <c r="D1028" s="69"/>
      <c r="E1028" s="69"/>
      <c r="F1028" s="69"/>
      <c r="G1028" s="69"/>
      <c r="H1028" s="70"/>
      <c r="I1028" s="69"/>
      <c r="J1028" s="69"/>
      <c r="K1028" s="69"/>
      <c r="L1028" s="69"/>
      <c r="M1028" s="69"/>
      <c r="N1028" s="69"/>
      <c r="O1028" s="69"/>
      <c r="P1028" s="69"/>
      <c r="Q1028" s="69"/>
      <c r="R1028" s="69"/>
      <c r="S1028" s="69"/>
      <c r="T1028" s="69"/>
      <c r="U1028" s="69"/>
      <c r="V1028" s="69"/>
      <c r="W1028" s="69"/>
      <c r="X1028" s="69"/>
      <c r="Y1028" s="69"/>
    </row>
    <row r="1029" ht="15.75" customHeight="1" spans="1:25">
      <c r="A1029" s="88"/>
      <c r="B1029" s="69"/>
      <c r="C1029" s="90"/>
      <c r="D1029" s="69"/>
      <c r="E1029" s="69"/>
      <c r="F1029" s="69"/>
      <c r="G1029" s="69"/>
      <c r="H1029" s="70"/>
      <c r="I1029" s="69"/>
      <c r="J1029" s="69"/>
      <c r="K1029" s="69"/>
      <c r="L1029" s="69"/>
      <c r="M1029" s="69"/>
      <c r="N1029" s="69"/>
      <c r="O1029" s="69"/>
      <c r="P1029" s="69"/>
      <c r="Q1029" s="69"/>
      <c r="R1029" s="69"/>
      <c r="S1029" s="69"/>
      <c r="T1029" s="69"/>
      <c r="U1029" s="69"/>
      <c r="V1029" s="69"/>
      <c r="W1029" s="69"/>
      <c r="X1029" s="69"/>
      <c r="Y1029" s="69"/>
    </row>
    <row r="1030" ht="15.75" customHeight="1" spans="1:25">
      <c r="A1030" s="88"/>
      <c r="B1030" s="69"/>
      <c r="C1030" s="90"/>
      <c r="D1030" s="69"/>
      <c r="E1030" s="69"/>
      <c r="F1030" s="69"/>
      <c r="G1030" s="69"/>
      <c r="H1030" s="70"/>
      <c r="I1030" s="69"/>
      <c r="J1030" s="69"/>
      <c r="K1030" s="69"/>
      <c r="L1030" s="69"/>
      <c r="M1030" s="69"/>
      <c r="N1030" s="69"/>
      <c r="O1030" s="69"/>
      <c r="P1030" s="69"/>
      <c r="Q1030" s="69"/>
      <c r="R1030" s="69"/>
      <c r="S1030" s="69"/>
      <c r="T1030" s="69"/>
      <c r="U1030" s="69"/>
      <c r="V1030" s="69"/>
      <c r="W1030" s="69"/>
      <c r="X1030" s="69"/>
      <c r="Y1030" s="69"/>
    </row>
    <row r="1031" ht="15.75" customHeight="1" spans="1:25">
      <c r="A1031" s="88"/>
      <c r="B1031" s="69"/>
      <c r="C1031" s="90"/>
      <c r="D1031" s="69"/>
      <c r="E1031" s="69"/>
      <c r="F1031" s="69"/>
      <c r="G1031" s="69"/>
      <c r="H1031" s="70"/>
      <c r="I1031" s="69"/>
      <c r="J1031" s="69"/>
      <c r="K1031" s="69"/>
      <c r="L1031" s="69"/>
      <c r="M1031" s="69"/>
      <c r="N1031" s="69"/>
      <c r="O1031" s="69"/>
      <c r="P1031" s="69"/>
      <c r="Q1031" s="69"/>
      <c r="R1031" s="69"/>
      <c r="S1031" s="69"/>
      <c r="T1031" s="69"/>
      <c r="U1031" s="69"/>
      <c r="V1031" s="69"/>
      <c r="W1031" s="69"/>
      <c r="X1031" s="69"/>
      <c r="Y1031" s="69"/>
    </row>
    <row r="1032" ht="15.75" customHeight="1" spans="1:25">
      <c r="A1032" s="88"/>
      <c r="B1032" s="69"/>
      <c r="C1032" s="90"/>
      <c r="D1032" s="69"/>
      <c r="E1032" s="69"/>
      <c r="F1032" s="69"/>
      <c r="G1032" s="69"/>
      <c r="H1032" s="70"/>
      <c r="I1032" s="69"/>
      <c r="J1032" s="69"/>
      <c r="K1032" s="69"/>
      <c r="L1032" s="69"/>
      <c r="M1032" s="69"/>
      <c r="N1032" s="69"/>
      <c r="O1032" s="69"/>
      <c r="P1032" s="69"/>
      <c r="Q1032" s="69"/>
      <c r="R1032" s="69"/>
      <c r="S1032" s="69"/>
      <c r="T1032" s="69"/>
      <c r="U1032" s="69"/>
      <c r="V1032" s="69"/>
      <c r="W1032" s="69"/>
      <c r="X1032" s="69"/>
      <c r="Y1032" s="69"/>
    </row>
    <row r="1033" ht="15.75" customHeight="1" spans="1:25">
      <c r="A1033" s="88"/>
      <c r="B1033" s="69"/>
      <c r="C1033" s="90"/>
      <c r="D1033" s="69"/>
      <c r="E1033" s="69"/>
      <c r="F1033" s="69"/>
      <c r="G1033" s="69"/>
      <c r="H1033" s="70"/>
      <c r="I1033" s="69"/>
      <c r="J1033" s="69"/>
      <c r="K1033" s="69"/>
      <c r="L1033" s="69"/>
      <c r="M1033" s="69"/>
      <c r="N1033" s="69"/>
      <c r="O1033" s="69"/>
      <c r="P1033" s="69"/>
      <c r="Q1033" s="69"/>
      <c r="R1033" s="69"/>
      <c r="S1033" s="69"/>
      <c r="T1033" s="69"/>
      <c r="U1033" s="69"/>
      <c r="V1033" s="69"/>
      <c r="W1033" s="69"/>
      <c r="X1033" s="69"/>
      <c r="Y1033" s="69"/>
    </row>
    <row r="1034" ht="15.75" customHeight="1" spans="1:25">
      <c r="A1034" s="88"/>
      <c r="B1034" s="69"/>
      <c r="C1034" s="90"/>
      <c r="D1034" s="69"/>
      <c r="E1034" s="69"/>
      <c r="F1034" s="69"/>
      <c r="G1034" s="69"/>
      <c r="H1034" s="70"/>
      <c r="I1034" s="69"/>
      <c r="J1034" s="69"/>
      <c r="K1034" s="69"/>
      <c r="L1034" s="69"/>
      <c r="M1034" s="69"/>
      <c r="N1034" s="69"/>
      <c r="O1034" s="69"/>
      <c r="P1034" s="69"/>
      <c r="Q1034" s="69"/>
      <c r="R1034" s="69"/>
      <c r="S1034" s="69"/>
      <c r="T1034" s="69"/>
      <c r="U1034" s="69"/>
      <c r="V1034" s="69"/>
      <c r="W1034" s="69"/>
      <c r="X1034" s="69"/>
      <c r="Y1034" s="69"/>
    </row>
    <row r="1035" ht="15.75" customHeight="1" spans="1:25">
      <c r="A1035" s="88"/>
      <c r="B1035" s="69"/>
      <c r="C1035" s="90"/>
      <c r="D1035" s="69"/>
      <c r="E1035" s="69"/>
      <c r="F1035" s="69"/>
      <c r="G1035" s="69"/>
      <c r="H1035" s="70"/>
      <c r="I1035" s="69"/>
      <c r="J1035" s="69"/>
      <c r="K1035" s="69"/>
      <c r="L1035" s="69"/>
      <c r="M1035" s="69"/>
      <c r="N1035" s="69"/>
      <c r="O1035" s="69"/>
      <c r="P1035" s="69"/>
      <c r="Q1035" s="69"/>
      <c r="R1035" s="69"/>
      <c r="S1035" s="69"/>
      <c r="T1035" s="69"/>
      <c r="U1035" s="69"/>
      <c r="V1035" s="69"/>
      <c r="W1035" s="69"/>
      <c r="X1035" s="69"/>
      <c r="Y1035" s="69"/>
    </row>
    <row r="1036" ht="15.75" customHeight="1" spans="1:25">
      <c r="A1036" s="88"/>
      <c r="B1036" s="69"/>
      <c r="C1036" s="90"/>
      <c r="D1036" s="69"/>
      <c r="E1036" s="69"/>
      <c r="F1036" s="69"/>
      <c r="G1036" s="69"/>
      <c r="H1036" s="70"/>
      <c r="I1036" s="69"/>
      <c r="J1036" s="69"/>
      <c r="K1036" s="69"/>
      <c r="L1036" s="69"/>
      <c r="M1036" s="69"/>
      <c r="N1036" s="69"/>
      <c r="O1036" s="69"/>
      <c r="P1036" s="69"/>
      <c r="Q1036" s="69"/>
      <c r="R1036" s="69"/>
      <c r="S1036" s="69"/>
      <c r="T1036" s="69"/>
      <c r="U1036" s="69"/>
      <c r="V1036" s="69"/>
      <c r="W1036" s="69"/>
      <c r="X1036" s="69"/>
      <c r="Y1036" s="69"/>
    </row>
    <row r="1037" ht="15.75" customHeight="1" spans="1:25">
      <c r="A1037" s="88"/>
      <c r="B1037" s="69"/>
      <c r="C1037" s="90"/>
      <c r="D1037" s="69"/>
      <c r="E1037" s="69"/>
      <c r="F1037" s="69"/>
      <c r="G1037" s="69"/>
      <c r="H1037" s="70"/>
      <c r="I1037" s="69"/>
      <c r="J1037" s="69"/>
      <c r="K1037" s="69"/>
      <c r="L1037" s="69"/>
      <c r="M1037" s="69"/>
      <c r="N1037" s="69"/>
      <c r="O1037" s="69"/>
      <c r="P1037" s="69"/>
      <c r="Q1037" s="69"/>
      <c r="R1037" s="69"/>
      <c r="S1037" s="69"/>
      <c r="T1037" s="69"/>
      <c r="U1037" s="69"/>
      <c r="V1037" s="69"/>
      <c r="W1037" s="69"/>
      <c r="X1037" s="69"/>
      <c r="Y1037" s="69"/>
    </row>
    <row r="1038" ht="15.75" customHeight="1" spans="1:25">
      <c r="A1038" s="88"/>
      <c r="B1038" s="69"/>
      <c r="C1038" s="90"/>
      <c r="D1038" s="69"/>
      <c r="E1038" s="69"/>
      <c r="F1038" s="69"/>
      <c r="G1038" s="69"/>
      <c r="H1038" s="70"/>
      <c r="I1038" s="69"/>
      <c r="J1038" s="69"/>
      <c r="K1038" s="69"/>
      <c r="L1038" s="69"/>
      <c r="M1038" s="69"/>
      <c r="N1038" s="69"/>
      <c r="O1038" s="69"/>
      <c r="P1038" s="69"/>
      <c r="Q1038" s="69"/>
      <c r="R1038" s="69"/>
      <c r="S1038" s="69"/>
      <c r="T1038" s="69"/>
      <c r="U1038" s="69"/>
      <c r="V1038" s="69"/>
      <c r="W1038" s="69"/>
      <c r="X1038" s="69"/>
      <c r="Y1038" s="69"/>
    </row>
    <row r="1039" ht="15.75" customHeight="1" spans="1:25">
      <c r="A1039" s="88"/>
      <c r="B1039" s="69"/>
      <c r="C1039" s="90"/>
      <c r="D1039" s="69"/>
      <c r="E1039" s="69"/>
      <c r="F1039" s="69"/>
      <c r="G1039" s="69"/>
      <c r="H1039" s="70"/>
      <c r="I1039" s="69"/>
      <c r="J1039" s="69"/>
      <c r="K1039" s="69"/>
      <c r="L1039" s="69"/>
      <c r="M1039" s="69"/>
      <c r="N1039" s="69"/>
      <c r="O1039" s="69"/>
      <c r="P1039" s="69"/>
      <c r="Q1039" s="69"/>
      <c r="R1039" s="69"/>
      <c r="S1039" s="69"/>
      <c r="T1039" s="69"/>
      <c r="U1039" s="69"/>
      <c r="V1039" s="69"/>
      <c r="W1039" s="69"/>
      <c r="X1039" s="69"/>
      <c r="Y1039" s="69"/>
    </row>
    <row r="1040" ht="15.75" customHeight="1" spans="1:25">
      <c r="A1040" s="88"/>
      <c r="B1040" s="69"/>
      <c r="C1040" s="90"/>
      <c r="D1040" s="69"/>
      <c r="E1040" s="69"/>
      <c r="F1040" s="69"/>
      <c r="G1040" s="69"/>
      <c r="H1040" s="70"/>
      <c r="I1040" s="69"/>
      <c r="J1040" s="69"/>
      <c r="K1040" s="69"/>
      <c r="L1040" s="69"/>
      <c r="M1040" s="69"/>
      <c r="N1040" s="69"/>
      <c r="O1040" s="69"/>
      <c r="P1040" s="69"/>
      <c r="Q1040" s="69"/>
      <c r="R1040" s="69"/>
      <c r="S1040" s="69"/>
      <c r="T1040" s="69"/>
      <c r="U1040" s="69"/>
      <c r="V1040" s="69"/>
      <c r="W1040" s="69"/>
      <c r="X1040" s="69"/>
      <c r="Y1040" s="69"/>
    </row>
    <row r="1041" ht="15.75" customHeight="1" spans="1:25">
      <c r="A1041" s="88"/>
      <c r="B1041" s="69"/>
      <c r="C1041" s="90"/>
      <c r="D1041" s="69"/>
      <c r="E1041" s="69"/>
      <c r="F1041" s="69"/>
      <c r="G1041" s="69"/>
      <c r="H1041" s="70"/>
      <c r="I1041" s="69"/>
      <c r="J1041" s="69"/>
      <c r="K1041" s="69"/>
      <c r="L1041" s="69"/>
      <c r="M1041" s="69"/>
      <c r="N1041" s="69"/>
      <c r="O1041" s="69"/>
      <c r="P1041" s="69"/>
      <c r="Q1041" s="69"/>
      <c r="R1041" s="69"/>
      <c r="S1041" s="69"/>
      <c r="T1041" s="69"/>
      <c r="U1041" s="69"/>
      <c r="V1041" s="69"/>
      <c r="W1041" s="69"/>
      <c r="X1041" s="69"/>
      <c r="Y1041" s="69"/>
    </row>
    <row r="1042" ht="15.75" customHeight="1" spans="1:25">
      <c r="A1042" s="88"/>
      <c r="B1042" s="69"/>
      <c r="C1042" s="90"/>
      <c r="D1042" s="69"/>
      <c r="E1042" s="69"/>
      <c r="F1042" s="69"/>
      <c r="G1042" s="69"/>
      <c r="H1042" s="70"/>
      <c r="I1042" s="69"/>
      <c r="J1042" s="69"/>
      <c r="K1042" s="69"/>
      <c r="L1042" s="69"/>
      <c r="M1042" s="69"/>
      <c r="N1042" s="69"/>
      <c r="O1042" s="69"/>
      <c r="P1042" s="69"/>
      <c r="Q1042" s="69"/>
      <c r="R1042" s="69"/>
      <c r="S1042" s="69"/>
      <c r="T1042" s="69"/>
      <c r="U1042" s="69"/>
      <c r="V1042" s="69"/>
      <c r="W1042" s="69"/>
      <c r="X1042" s="69"/>
      <c r="Y1042" s="69"/>
    </row>
    <row r="1043" ht="15.75" customHeight="1" spans="1:25">
      <c r="A1043" s="88"/>
      <c r="B1043" s="69"/>
      <c r="C1043" s="90"/>
      <c r="D1043" s="69"/>
      <c r="E1043" s="69"/>
      <c r="F1043" s="69"/>
      <c r="G1043" s="69"/>
      <c r="H1043" s="70"/>
      <c r="I1043" s="69"/>
      <c r="J1043" s="69"/>
      <c r="K1043" s="69"/>
      <c r="L1043" s="69"/>
      <c r="M1043" s="69"/>
      <c r="N1043" s="69"/>
      <c r="O1043" s="69"/>
      <c r="P1043" s="69"/>
      <c r="Q1043" s="69"/>
      <c r="R1043" s="69"/>
      <c r="S1043" s="69"/>
      <c r="T1043" s="69"/>
      <c r="U1043" s="69"/>
      <c r="V1043" s="69"/>
      <c r="W1043" s="69"/>
      <c r="X1043" s="69"/>
      <c r="Y1043" s="69"/>
    </row>
    <row r="1044" ht="15.75" customHeight="1" spans="1:25">
      <c r="A1044" s="88"/>
      <c r="B1044" s="69"/>
      <c r="C1044" s="90"/>
      <c r="D1044" s="69"/>
      <c r="E1044" s="69"/>
      <c r="F1044" s="69"/>
      <c r="G1044" s="69"/>
      <c r="H1044" s="70"/>
      <c r="I1044" s="69"/>
      <c r="J1044" s="69"/>
      <c r="K1044" s="69"/>
      <c r="L1044" s="69"/>
      <c r="M1044" s="69"/>
      <c r="N1044" s="69"/>
      <c r="O1044" s="69"/>
      <c r="P1044" s="69"/>
      <c r="Q1044" s="69"/>
      <c r="R1044" s="69"/>
      <c r="S1044" s="69"/>
      <c r="T1044" s="69"/>
      <c r="U1044" s="69"/>
      <c r="V1044" s="69"/>
      <c r="W1044" s="69"/>
      <c r="X1044" s="69"/>
      <c r="Y1044" s="69"/>
    </row>
    <row r="1045" ht="15.75" customHeight="1" spans="1:25">
      <c r="A1045" s="88"/>
      <c r="B1045" s="69"/>
      <c r="C1045" s="90"/>
      <c r="D1045" s="69"/>
      <c r="E1045" s="69"/>
      <c r="F1045" s="69"/>
      <c r="G1045" s="69"/>
      <c r="H1045" s="70"/>
      <c r="I1045" s="69"/>
      <c r="J1045" s="69"/>
      <c r="K1045" s="69"/>
      <c r="L1045" s="69"/>
      <c r="M1045" s="69"/>
      <c r="N1045" s="69"/>
      <c r="O1045" s="69"/>
      <c r="P1045" s="69"/>
      <c r="Q1045" s="69"/>
      <c r="R1045" s="69"/>
      <c r="S1045" s="69"/>
      <c r="T1045" s="69"/>
      <c r="U1045" s="69"/>
      <c r="V1045" s="69"/>
      <c r="W1045" s="69"/>
      <c r="X1045" s="69"/>
      <c r="Y1045" s="69"/>
    </row>
    <row r="1046" ht="15.75" customHeight="1" spans="1:25">
      <c r="A1046" s="88"/>
      <c r="B1046" s="69"/>
      <c r="C1046" s="90"/>
      <c r="D1046" s="69"/>
      <c r="E1046" s="69"/>
      <c r="F1046" s="69"/>
      <c r="G1046" s="69"/>
      <c r="H1046" s="70"/>
      <c r="I1046" s="69"/>
      <c r="J1046" s="69"/>
      <c r="K1046" s="69"/>
      <c r="L1046" s="69"/>
      <c r="M1046" s="69"/>
      <c r="N1046" s="69"/>
      <c r="O1046" s="69"/>
      <c r="P1046" s="69"/>
      <c r="Q1046" s="69"/>
      <c r="R1046" s="69"/>
      <c r="S1046" s="69"/>
      <c r="T1046" s="69"/>
      <c r="U1046" s="69"/>
      <c r="V1046" s="69"/>
      <c r="W1046" s="69"/>
      <c r="X1046" s="69"/>
      <c r="Y1046" s="69"/>
    </row>
    <row r="1047" ht="15.75" customHeight="1" spans="1:25">
      <c r="A1047" s="88"/>
      <c r="B1047" s="69"/>
      <c r="C1047" s="90"/>
      <c r="D1047" s="69"/>
      <c r="E1047" s="69"/>
      <c r="F1047" s="69"/>
      <c r="G1047" s="69"/>
      <c r="H1047" s="70"/>
      <c r="I1047" s="69"/>
      <c r="J1047" s="69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</row>
    <row r="1048" ht="15.75" customHeight="1" spans="1:25">
      <c r="A1048" s="88"/>
      <c r="B1048" s="69"/>
      <c r="C1048" s="90"/>
      <c r="D1048" s="69"/>
      <c r="E1048" s="69"/>
      <c r="F1048" s="69"/>
      <c r="G1048" s="69"/>
      <c r="H1048" s="70"/>
      <c r="I1048" s="69"/>
      <c r="J1048" s="69"/>
      <c r="K1048" s="69"/>
      <c r="L1048" s="69"/>
      <c r="M1048" s="69"/>
      <c r="N1048" s="69"/>
      <c r="O1048" s="69"/>
      <c r="P1048" s="69"/>
      <c r="Q1048" s="69"/>
      <c r="R1048" s="69"/>
      <c r="S1048" s="69"/>
      <c r="T1048" s="69"/>
      <c r="U1048" s="69"/>
      <c r="V1048" s="69"/>
      <c r="W1048" s="69"/>
      <c r="X1048" s="69"/>
      <c r="Y1048" s="69"/>
    </row>
    <row r="1049" ht="15.75" customHeight="1"/>
    <row r="1050" ht="15.75" customHeight="1"/>
  </sheetData>
  <mergeCells count="16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A4:A7"/>
    <mergeCell ref="D4:D7"/>
    <mergeCell ref="Q5:Q6"/>
    <mergeCell ref="B4:C7"/>
    <mergeCell ref="B8:C10"/>
    <mergeCell ref="B11:C13"/>
    <mergeCell ref="B14:C16"/>
  </mergeCells>
  <conditionalFormatting sqref="E8:N16">
    <cfRule type="expression" dxfId="0" priority="2">
      <formula>LEN(TRIM(E8))=0</formula>
    </cfRule>
  </conditionalFormatting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Y31"/>
  <sheetViews>
    <sheetView workbookViewId="0">
      <selection activeCell="P30" sqref="P30"/>
    </sheetView>
  </sheetViews>
  <sheetFormatPr defaultColWidth="14.43" defaultRowHeight="15" customHeight="1"/>
  <cols>
    <col min="1" max="1" width="13.43" customWidth="1"/>
    <col min="2" max="2" width="24.43" customWidth="1"/>
    <col min="3" max="3" width="8.86" customWidth="1"/>
    <col min="4" max="4" width="42.58" customWidth="1"/>
    <col min="5" max="5" width="17.57" customWidth="1"/>
    <col min="6" max="6" width="16" customWidth="1"/>
    <col min="7" max="7" width="13.86" customWidth="1"/>
    <col min="8" max="8" width="31.43" customWidth="1"/>
    <col min="9" max="9" width="6.43" customWidth="1"/>
    <col min="10" max="10" width="11.71" customWidth="1"/>
    <col min="11" max="11" width="6.57" customWidth="1"/>
    <col min="12" max="12" width="10.58" customWidth="1"/>
    <col min="13" max="13" width="7.14" customWidth="1"/>
    <col min="14" max="14" width="9.58" customWidth="1"/>
    <col min="15" max="15" width="4.57" customWidth="1"/>
    <col min="16" max="16" width="9.86" customWidth="1"/>
    <col min="18" max="24" width="14.43" hidden="1"/>
  </cols>
  <sheetData>
    <row r="1" ht="14.5" spans="1:25">
      <c r="A1" s="13"/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</row>
    <row r="2" customHeight="1" spans="1:25">
      <c r="A2" s="13"/>
      <c r="B2" s="59" t="s">
        <v>1355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5"/>
      <c r="S2" s="15"/>
      <c r="T2" s="15"/>
      <c r="U2" s="15"/>
      <c r="V2" s="15"/>
      <c r="W2" s="15"/>
      <c r="X2" s="15"/>
      <c r="Y2" s="16"/>
    </row>
    <row r="3" ht="14.5" spans="1:25">
      <c r="A3" s="13"/>
      <c r="B3" s="14"/>
      <c r="C3" s="14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customHeight="1" spans="1:25">
      <c r="A4" s="19"/>
      <c r="B4" s="20" t="s">
        <v>24</v>
      </c>
      <c r="C4" s="20"/>
      <c r="D4" s="21" t="s">
        <v>1330</v>
      </c>
      <c r="E4" s="21" t="s">
        <v>1331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S4" s="15"/>
      <c r="T4" s="15"/>
      <c r="U4" s="15"/>
      <c r="V4" s="15"/>
      <c r="W4" s="15"/>
      <c r="X4" s="15"/>
      <c r="Y4" s="16"/>
    </row>
    <row r="5" customHeight="1" spans="1:25">
      <c r="A5" s="19"/>
      <c r="B5" s="20"/>
      <c r="C5" s="20"/>
      <c r="D5" s="21"/>
      <c r="E5" s="21" t="s">
        <v>1332</v>
      </c>
      <c r="F5" s="21"/>
      <c r="G5" s="21"/>
      <c r="H5" s="21"/>
      <c r="I5" s="21" t="s">
        <v>1333</v>
      </c>
      <c r="J5" s="21"/>
      <c r="K5" s="21" t="s">
        <v>1334</v>
      </c>
      <c r="L5" s="21"/>
      <c r="M5" s="21"/>
      <c r="N5" s="21"/>
      <c r="O5" s="21"/>
      <c r="P5" s="21"/>
      <c r="Q5" s="22" t="s">
        <v>1335</v>
      </c>
      <c r="R5" s="15"/>
      <c r="S5" s="15"/>
      <c r="T5" s="15"/>
      <c r="U5" s="15"/>
      <c r="V5" s="15"/>
      <c r="W5" s="15"/>
      <c r="X5" s="15"/>
      <c r="Y5" s="16"/>
    </row>
    <row r="6" customHeight="1" spans="1:25">
      <c r="A6" s="19"/>
      <c r="B6" s="20"/>
      <c r="C6" s="20"/>
      <c r="D6" s="21"/>
      <c r="E6" s="21" t="s">
        <v>1336</v>
      </c>
      <c r="F6" s="21" t="s">
        <v>1337</v>
      </c>
      <c r="G6" s="21" t="s">
        <v>1338</v>
      </c>
      <c r="H6" s="23" t="s">
        <v>1339</v>
      </c>
      <c r="I6" s="21" t="s">
        <v>1338</v>
      </c>
      <c r="J6" s="21"/>
      <c r="K6" s="21" t="s">
        <v>1340</v>
      </c>
      <c r="L6" s="21"/>
      <c r="M6" s="21" t="s">
        <v>1341</v>
      </c>
      <c r="N6" s="21"/>
      <c r="O6" s="23" t="s">
        <v>1339</v>
      </c>
      <c r="P6" s="23"/>
      <c r="Q6" s="22"/>
      <c r="R6" s="15"/>
      <c r="S6" s="15"/>
      <c r="T6" s="15"/>
      <c r="U6" s="15"/>
      <c r="V6" s="15"/>
      <c r="W6" s="15"/>
      <c r="X6" s="15"/>
      <c r="Y6" s="16"/>
    </row>
    <row r="7" ht="14.5" spans="1:25">
      <c r="A7" s="19"/>
      <c r="B7" s="20"/>
      <c r="C7" s="20"/>
      <c r="D7" s="21"/>
      <c r="E7" s="21" t="s">
        <v>1342</v>
      </c>
      <c r="F7" s="21" t="s">
        <v>1342</v>
      </c>
      <c r="G7" s="21" t="s">
        <v>1342</v>
      </c>
      <c r="H7" s="23" t="s">
        <v>1342</v>
      </c>
      <c r="I7" s="21" t="s">
        <v>1343</v>
      </c>
      <c r="J7" s="21" t="s">
        <v>1344</v>
      </c>
      <c r="K7" s="21" t="s">
        <v>1343</v>
      </c>
      <c r="L7" s="21" t="s">
        <v>1344</v>
      </c>
      <c r="M7" s="21" t="s">
        <v>1343</v>
      </c>
      <c r="N7" s="21" t="s">
        <v>1344</v>
      </c>
      <c r="O7" s="23" t="s">
        <v>1343</v>
      </c>
      <c r="P7" s="23" t="s">
        <v>1344</v>
      </c>
      <c r="Q7" s="22" t="s">
        <v>1345</v>
      </c>
      <c r="R7" s="15"/>
      <c r="S7" s="15"/>
      <c r="T7" s="15"/>
      <c r="U7" s="15"/>
      <c r="V7" s="15"/>
      <c r="W7" s="15"/>
      <c r="X7" s="15"/>
      <c r="Y7" s="16"/>
    </row>
    <row r="8" customHeight="1" spans="1:25">
      <c r="A8" s="13"/>
      <c r="B8" s="24" t="s">
        <v>562</v>
      </c>
      <c r="C8" s="24"/>
      <c r="D8" s="25" t="s">
        <v>1347</v>
      </c>
      <c r="E8" s="26">
        <v>0</v>
      </c>
      <c r="F8" s="26">
        <v>0</v>
      </c>
      <c r="G8" s="58">
        <v>0</v>
      </c>
      <c r="H8" s="27">
        <f>SUM(E8:G8)</f>
        <v>0</v>
      </c>
      <c r="I8" s="26">
        <f>IFERROR(__xludf.dummyfunction("IMPORTRANGE(XLOOKUP($A$9,Dados_Esc_JAB_2026!$C$3:$C$848,Dados_Esc_JAB_2026!$E$3:$E$848),""ESCOLA!D18"")"),36)</f>
        <v>36</v>
      </c>
      <c r="J8" s="26">
        <f>IFERROR(__xludf.dummyfunction("IMPORTRANGE(XLOOKUP($A$9,Dados_Esc_JAB_2026!$C$3:$C$848,Dados_Esc_JAB_2026!$E$3:$E$848),""ESCOLA!H18"")"),36)</f>
        <v>36</v>
      </c>
      <c r="K8" s="26">
        <f>IFERROR(__xludf.dummyfunction("IMPORTRANGE(XLOOKUP($A$9,Dados_Esc_JAB_2026!$C$3:$C$848,Dados_Esc_JAB_2026!$E$3:$E$848),""ESCOLA!D20"")"),60)</f>
        <v>60</v>
      </c>
      <c r="L8" s="26">
        <f>IFERROR(__xludf.dummyfunction("IMPORTRANGE(XLOOKUP($A$9,Dados_Esc_JAB_2026!$C$3:$C$848,Dados_Esc_JAB_2026!$E$3:$E$848),""ESCOLA!H20"")"),60)</f>
        <v>60</v>
      </c>
      <c r="M8" s="26">
        <f>IFERROR(__xludf.dummyfunction("IMPORTRANGE(XLOOKUP($A$9,Dados_Esc_JAB_2026!$C$3:$C$848,Dados_Esc_JAB_2026!$E$3:$E$848),""ESCOLA!D22"")"),60)</f>
        <v>60</v>
      </c>
      <c r="N8" s="26">
        <f>IFERROR(__xludf.dummyfunction("IMPORTRANGE(XLOOKUP($A$9,Dados_Esc_JAB_2026!$C$3:$C$848,Dados_Esc_JAB_2026!$E$3:$E$848),""ESCOLA!H22"")"),60)</f>
        <v>60</v>
      </c>
      <c r="O8" s="27">
        <f>SUM(I8,K8,M8)</f>
        <v>156</v>
      </c>
      <c r="P8" s="27">
        <f>SUM(J8,L8,N8)</f>
        <v>156</v>
      </c>
      <c r="Q8" s="28">
        <f>SUM(H8,O8,P8)</f>
        <v>312</v>
      </c>
      <c r="R8" s="15"/>
      <c r="S8" s="15"/>
      <c r="T8" s="15"/>
      <c r="U8" s="15"/>
      <c r="V8" s="15"/>
      <c r="W8" s="15"/>
      <c r="X8" s="15"/>
      <c r="Y8" s="40"/>
    </row>
    <row r="9" ht="14.5" spans="1:25">
      <c r="A9" s="13" t="s">
        <v>561</v>
      </c>
      <c r="B9" s="24"/>
      <c r="C9" s="24"/>
      <c r="D9" s="25" t="s">
        <v>1348</v>
      </c>
      <c r="E9" s="26">
        <f>IFERROR(__xludf.dummyfunction("IMPORTRANGE(XLOOKUP($A$9,Dados_Esc_JAB_2026!$C$3:$C$848,Dados_Esc_JAB_2026!$E$3:$E$848),""ESCOLA!Q12"")"),0)</f>
        <v>0</v>
      </c>
      <c r="F9" s="26">
        <f>IFERROR(__xludf.dummyfunction("IMPORTRANGE(XLOOKUP($A$9,Dados_Esc_JAB_2026!$C$3:$C$848,Dados_Esc_JAB_2026!$E$3:$E$848),""ESCOLA!Q14"")"),0)</f>
        <v>0</v>
      </c>
      <c r="G9" s="26">
        <f>IFERROR(__xludf.dummyfunction("IMPORTRANGE(XLOOKUP($A$9,Dados_Esc_JAB_2026!$C$3:$C$848,Dados_Esc_JAB_2026!$E$3:$E$848),""ESCOLA!Q16"")"),0)</f>
        <v>0</v>
      </c>
      <c r="H9" s="27">
        <f>SUM(E9:G9)</f>
        <v>0</v>
      </c>
      <c r="I9" s="26">
        <f>IFERROR(__xludf.dummyfunction("IMPORTRANGE(XLOOKUP($A$9,Dados_Esc_JAB_2026!$C$3:$C$848,Dados_Esc_JAB_2026!$E$3:$E$848),""ESCOLA!E18"")"),34)</f>
        <v>34</v>
      </c>
      <c r="J9" s="26">
        <f>IFERROR(__xludf.dummyfunction("IMPORTRANGE(XLOOKUP($A$9,Dados_Esc_JAB_2026!$C$3:$C$848,Dados_Esc_JAB_2026!$E$3:$E$848),""ESCOLA!I18"")"),32)</f>
        <v>32</v>
      </c>
      <c r="K9" s="26">
        <f>IFERROR(__xludf.dummyfunction("IMPORTRANGE(XLOOKUP($A$9,Dados_Esc_JAB_2026!$C$3:$C$848,Dados_Esc_JAB_2026!$E$3:$E$848),""ESCOLA!E20"")"),46)</f>
        <v>46</v>
      </c>
      <c r="L9" s="26">
        <f>IFERROR(__xludf.dummyfunction("IMPORTRANGE(XLOOKUP($A$9,Dados_Esc_JAB_2026!$C$3:$C$848,Dados_Esc_JAB_2026!$E$3:$E$848),""ESCOLA!I20"")"),53)</f>
        <v>53</v>
      </c>
      <c r="M9" s="26">
        <f>IFERROR(__xludf.dummyfunction("IMPORTRANGE(XLOOKUP($A$9,Dados_Esc_JAB_2026!$C$3:$C$848,Dados_Esc_JAB_2026!$E$3:$E$848),""ESCOLA!E22"")"),53)</f>
        <v>53</v>
      </c>
      <c r="N9" s="26">
        <f>IFERROR(__xludf.dummyfunction("IMPORTRANGE(XLOOKUP($A$9,Dados_Esc_JAB_2026!$C$3:$C$848,Dados_Esc_JAB_2026!$E$3:$E$848),""ESCOLA!I22"")"),51)</f>
        <v>51</v>
      </c>
      <c r="O9" s="27">
        <f>SUM(I9,K9,M9)</f>
        <v>133</v>
      </c>
      <c r="P9" s="27">
        <f>SUM(J9,L9,N9)</f>
        <v>136</v>
      </c>
      <c r="Q9" s="28">
        <f>SUM(H9,O9,P9)</f>
        <v>269</v>
      </c>
      <c r="R9" s="15"/>
      <c r="S9" s="15"/>
      <c r="T9" s="15"/>
      <c r="U9" s="15"/>
      <c r="V9" s="15"/>
      <c r="W9" s="15"/>
      <c r="X9" s="15"/>
      <c r="Y9" s="40"/>
    </row>
    <row r="10" ht="14.5" spans="1:25">
      <c r="A10" s="13"/>
      <c r="B10" s="24"/>
      <c r="C10" s="24"/>
      <c r="D10" s="29" t="s">
        <v>1349</v>
      </c>
      <c r="E10" s="30">
        <f t="shared" ref="E10:Q10" si="0">SUM(E8-E9)</f>
        <v>0</v>
      </c>
      <c r="F10" s="30">
        <f t="shared" si="0"/>
        <v>0</v>
      </c>
      <c r="G10" s="30">
        <f t="shared" si="0"/>
        <v>0</v>
      </c>
      <c r="H10" s="30">
        <f t="shared" si="0"/>
        <v>0</v>
      </c>
      <c r="I10" s="30">
        <f t="shared" si="0"/>
        <v>2</v>
      </c>
      <c r="J10" s="30">
        <f t="shared" si="0"/>
        <v>4</v>
      </c>
      <c r="K10" s="30">
        <f t="shared" si="0"/>
        <v>14</v>
      </c>
      <c r="L10" s="30">
        <f t="shared" si="0"/>
        <v>7</v>
      </c>
      <c r="M10" s="30">
        <f t="shared" si="0"/>
        <v>7</v>
      </c>
      <c r="N10" s="30">
        <f t="shared" si="0"/>
        <v>9</v>
      </c>
      <c r="O10" s="30">
        <f t="shared" si="0"/>
        <v>23</v>
      </c>
      <c r="P10" s="30">
        <f t="shared" si="0"/>
        <v>20</v>
      </c>
      <c r="Q10" s="30">
        <f t="shared" si="0"/>
        <v>43</v>
      </c>
      <c r="R10" s="15"/>
      <c r="S10" s="15"/>
      <c r="T10" s="15"/>
      <c r="U10" s="15"/>
      <c r="V10" s="15"/>
      <c r="W10" s="15"/>
      <c r="X10" s="15"/>
      <c r="Y10" s="40"/>
    </row>
    <row r="11" customHeight="1" spans="1:25">
      <c r="A11" s="13"/>
      <c r="B11" s="24" t="s">
        <v>571</v>
      </c>
      <c r="C11" s="24"/>
      <c r="D11" s="25" t="s">
        <v>1347</v>
      </c>
      <c r="E11" s="58">
        <f>IFERROR(__xludf.dummyfunction("IMPORTRANGE(XLOOKUP($A$12,Dados_Esc_JAB_2026!$C$3:$C$848,Dados_Esc_JAB_2026!$E$3:$E$848),""ESCOLA!P12"")"),30)</f>
        <v>30</v>
      </c>
      <c r="F11" s="58">
        <f>IFERROR(__xludf.dummyfunction("IMPORTRANGE(XLOOKUP($A$12,Dados_Esc_JAB_2026!$C$3:$C$848,Dados_Esc_JAB_2026!$E$3:$E$848),""ESCOLA!P14"")"),45)</f>
        <v>45</v>
      </c>
      <c r="G11" s="58">
        <f>IFERROR(__xludf.dummyfunction("IMPORTRANGE(XLOOKUP($A$12,Dados_Esc_JAB_2026!$C$3:$C$848,Dados_Esc_JAB_2026!$E$3:$E$848),""ESCOLA!P16"")"),40)</f>
        <v>40</v>
      </c>
      <c r="H11" s="27">
        <f>SUM(E11:G11)</f>
        <v>115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7">
        <f>SUM(I11,K11,M11)</f>
        <v>0</v>
      </c>
      <c r="P11" s="27">
        <f>SUM(J11,L11,N11)</f>
        <v>0</v>
      </c>
      <c r="Q11" s="28">
        <f>SUM(H11,O11,P11)</f>
        <v>115</v>
      </c>
      <c r="R11" s="15"/>
      <c r="S11" s="15"/>
      <c r="T11" s="15"/>
      <c r="U11" s="15"/>
      <c r="V11" s="15"/>
      <c r="W11" s="15"/>
      <c r="X11" s="15"/>
      <c r="Y11" s="40"/>
    </row>
    <row r="12" ht="14.5" spans="1:25">
      <c r="A12" s="13" t="s">
        <v>570</v>
      </c>
      <c r="B12" s="24"/>
      <c r="C12" s="24"/>
      <c r="D12" s="25" t="s">
        <v>1348</v>
      </c>
      <c r="E12" s="26">
        <f>IFERROR(__xludf.dummyfunction("IMPORTRANGE(XLOOKUP($A$12,Dados_Esc_JAB_2026!$C$3:$C$848,Dados_Esc_JAB_2026!$E$3:$E$848),""ESCOLA!Q12"")"),30)</f>
        <v>30</v>
      </c>
      <c r="F12" s="26">
        <f>IFERROR(__xludf.dummyfunction("IMPORTRANGE(XLOOKUP($A$12,Dados_Esc_JAB_2026!$C$3:$C$848,Dados_Esc_JAB_2026!$E$3:$E$848),""ESCOLA!Q14"")"),43)</f>
        <v>43</v>
      </c>
      <c r="G12" s="58">
        <f>IFERROR(__xludf.dummyfunction("IMPORTRANGE(XLOOKUP($A$12,Dados_Esc_JAB_2026!$C$3:$C$848,Dados_Esc_JAB_2026!$E$3:$E$848),""ESCOLA!Q15"")"),2)</f>
        <v>2</v>
      </c>
      <c r="H12" s="27">
        <f>SUM(E12:G12)</f>
        <v>75</v>
      </c>
      <c r="I12" s="26">
        <f>IFERROR(__xludf.dummyfunction("IMPORTRANGE(XLOOKUP($A$12,Dados_Esc_JAB_2026!$C$3:$C$848,Dados_Esc_JAB_2026!$E$3:$E$848),""ESCOLA!E18"")"),0)</f>
        <v>0</v>
      </c>
      <c r="J12" s="26">
        <f>IFERROR(__xludf.dummyfunction("IMPORTRANGE(XLOOKUP($A$12,Dados_Esc_JAB_2026!$C$3:$C$848,Dados_Esc_JAB_2026!$E$3:$E$848),""ESCOLA!I18"")"),0)</f>
        <v>0</v>
      </c>
      <c r="K12" s="26">
        <f>IFERROR(__xludf.dummyfunction("IMPORTRANGE(XLOOKUP($A$12,Dados_Esc_JAB_2026!$C$3:$C$848,Dados_Esc_JAB_2026!$E$3:$E$848),""ESCOLA!E20"")"),0)</f>
        <v>0</v>
      </c>
      <c r="L12" s="26">
        <f>IFERROR(__xludf.dummyfunction("IMPORTRANGE(XLOOKUP($A$12,Dados_Esc_JAB_2026!$C$3:$C$848,Dados_Esc_JAB_2026!$E$3:$E$848),""ESCOLA!I20"")"),0)</f>
        <v>0</v>
      </c>
      <c r="M12" s="26">
        <f>IFERROR(__xludf.dummyfunction("IMPORTRANGE(XLOOKUP($A$12,Dados_Esc_JAB_2026!$C$3:$C$848,Dados_Esc_JAB_2026!$E$3:$E$848),""ESCOLA!E22"")"),0)</f>
        <v>0</v>
      </c>
      <c r="N12" s="26">
        <f>IFERROR(__xludf.dummyfunction("IMPORTRANGE(XLOOKUP($A$12,Dados_Esc_JAB_2026!$C$3:$C$848,Dados_Esc_JAB_2026!$E$3:$E$848),""ESCOLA!I22"")"),0)</f>
        <v>0</v>
      </c>
      <c r="O12" s="27">
        <f>SUM(I12,K12,M12)</f>
        <v>0</v>
      </c>
      <c r="P12" s="27">
        <f>SUM(J12,L12,N12)</f>
        <v>0</v>
      </c>
      <c r="Q12" s="28">
        <f>SUM(H12,O12,P12)</f>
        <v>75</v>
      </c>
      <c r="R12" s="15"/>
      <c r="S12" s="15"/>
      <c r="T12" s="15"/>
      <c r="U12" s="15"/>
      <c r="V12" s="15"/>
      <c r="W12" s="15"/>
      <c r="X12" s="15"/>
      <c r="Y12" s="40"/>
    </row>
    <row r="13" ht="14.5" spans="1:25">
      <c r="A13" s="13"/>
      <c r="B13" s="24"/>
      <c r="C13" s="24"/>
      <c r="D13" s="29" t="s">
        <v>1349</v>
      </c>
      <c r="E13" s="30">
        <f t="shared" ref="E13:Q13" si="1">SUM(E11-E12)</f>
        <v>0</v>
      </c>
      <c r="F13" s="30">
        <f t="shared" si="1"/>
        <v>2</v>
      </c>
      <c r="G13" s="30">
        <f t="shared" si="1"/>
        <v>38</v>
      </c>
      <c r="H13" s="30">
        <f t="shared" si="1"/>
        <v>40</v>
      </c>
      <c r="I13" s="30">
        <f t="shared" si="1"/>
        <v>0</v>
      </c>
      <c r="J13" s="30">
        <f t="shared" si="1"/>
        <v>0</v>
      </c>
      <c r="K13" s="30">
        <f t="shared" si="1"/>
        <v>0</v>
      </c>
      <c r="L13" s="30">
        <f t="shared" si="1"/>
        <v>0</v>
      </c>
      <c r="M13" s="30">
        <f t="shared" si="1"/>
        <v>0</v>
      </c>
      <c r="N13" s="30">
        <f t="shared" si="1"/>
        <v>0</v>
      </c>
      <c r="O13" s="30">
        <f t="shared" si="1"/>
        <v>0</v>
      </c>
      <c r="P13" s="30">
        <f t="shared" si="1"/>
        <v>0</v>
      </c>
      <c r="Q13" s="30">
        <f t="shared" si="1"/>
        <v>40</v>
      </c>
      <c r="R13" s="15"/>
      <c r="S13" s="15"/>
      <c r="T13" s="15"/>
      <c r="U13" s="15"/>
      <c r="V13" s="15"/>
      <c r="W13" s="15"/>
      <c r="X13" s="15"/>
      <c r="Y13" s="40"/>
    </row>
    <row r="14" customHeight="1" spans="1:25">
      <c r="A14" s="13"/>
      <c r="B14" s="24" t="s">
        <v>1354</v>
      </c>
      <c r="C14" s="24"/>
      <c r="D14" s="25" t="s">
        <v>1347</v>
      </c>
      <c r="E14" s="26">
        <f>IFERROR(__xludf.dummyfunction("IMPORTRANGE(XLOOKUP($A$15,Dados_Esc_JAB_2026!$C$3:$C$848,Dados_Esc_JAB_2026!$E$3:$E$848),""ESCOLA!P12"")"),15)</f>
        <v>15</v>
      </c>
      <c r="F14" s="26">
        <f>IFERROR(__xludf.dummyfunction("IMPORTRANGE(XLOOKUP($A$15,Dados_Esc_JAB_2026!$C$3:$C$848,Dados_Esc_JAB_2026!$E$3:$E$848),""ESCOLA!P14"")"),30)</f>
        <v>30</v>
      </c>
      <c r="G14" s="26">
        <f>IFERROR(__xludf.dummyfunction("IMPORTRANGE(XLOOKUP($A$15,Dados_Esc_JAB_2026!$C$3:$C$848,Dados_Esc_JAB_2026!$E$3:$E$848),""ESCOLA!P16"")"),20)</f>
        <v>20</v>
      </c>
      <c r="H14" s="27">
        <f>SUM(E14:G14)</f>
        <v>65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27">
        <f>SUM(I14,K14,M14)</f>
        <v>0</v>
      </c>
      <c r="P14" s="27">
        <f>SUM(J14,L14,N14)</f>
        <v>0</v>
      </c>
      <c r="Q14" s="28">
        <f>SUM(H14,O14,P14)</f>
        <v>65</v>
      </c>
      <c r="R14" s="15"/>
      <c r="S14" s="15"/>
      <c r="T14" s="15"/>
      <c r="U14" s="15"/>
      <c r="V14" s="15"/>
      <c r="W14" s="15"/>
      <c r="X14" s="15"/>
      <c r="Y14" s="40"/>
    </row>
    <row r="15" ht="14.5" spans="1:25">
      <c r="A15" s="13" t="s">
        <v>377</v>
      </c>
      <c r="B15" s="24"/>
      <c r="C15" s="24"/>
      <c r="D15" s="25" t="s">
        <v>1348</v>
      </c>
      <c r="E15" s="26">
        <f>IFERROR(__xludf.dummyfunction("IMPORTRANGE(XLOOKUP($A$15,Dados_Esc_JAB_2026!$C$3:$C$848,Dados_Esc_JAB_2026!$E$3:$E$848),""ESCOLA!Q12"")"),15)</f>
        <v>15</v>
      </c>
      <c r="F15" s="26">
        <f>IFERROR(__xludf.dummyfunction("IMPORTRANGE(XLOOKUP($A$15,Dados_Esc_JAB_2026!$C$3:$C$848,Dados_Esc_JAB_2026!$E$3:$E$848),""ESCOLA!Q14"")"),29)</f>
        <v>29</v>
      </c>
      <c r="G15" s="26">
        <f>IFERROR(__xludf.dummyfunction("IMPORTRANGE(XLOOKUP($A$15,Dados_Esc_JAB_2026!$C$3:$C$848,Dados_Esc_JAB_2026!$E$3:$E$848),""ESCOLA!Q16"")"),19)</f>
        <v>19</v>
      </c>
      <c r="H15" s="27">
        <f>SUM(E15:G15)</f>
        <v>63</v>
      </c>
      <c r="I15" s="26">
        <f>IFERROR(__xludf.dummyfunction("IMPORTRANGE(XLOOKUP($A$15,Dados_Esc_JAB_2026!$C$3:$C$848,Dados_Esc_JAB_2026!$E$3:$E$848),""ESCOLA!E18"")"),0)</f>
        <v>0</v>
      </c>
      <c r="J15" s="26">
        <f>IFERROR(__xludf.dummyfunction("IMPORTRANGE(XLOOKUP($A$15,Dados_Esc_JAB_2026!$C$3:$C$848,Dados_Esc_JAB_2026!$E$3:$E$848),""ESCOLA!I18"")"),0)</f>
        <v>0</v>
      </c>
      <c r="K15" s="26">
        <f>IFERROR(__xludf.dummyfunction("IMPORTRANGE(XLOOKUP($A$15,Dados_Esc_JAB_2026!$C$3:$C$848,Dados_Esc_JAB_2026!$E$3:$E$848),""ESCOLA!E20"")"),0)</f>
        <v>0</v>
      </c>
      <c r="L15" s="26">
        <f>IFERROR(__xludf.dummyfunction("IMPORTRANGE(XLOOKUP($A$15,Dados_Esc_JAB_2026!$C$3:$C$848,Dados_Esc_JAB_2026!$E$3:$E$848),""ESCOLA!I20"")"),0)</f>
        <v>0</v>
      </c>
      <c r="M15" s="26">
        <f>IFERROR(__xludf.dummyfunction("IMPORTRANGE(XLOOKUP($A$15,Dados_Esc_JAB_2026!$C$3:$C$848,Dados_Esc_JAB_2026!$E$3:$E$848),""ESCOLA!E22"")"),0)</f>
        <v>0</v>
      </c>
      <c r="N15" s="26">
        <f>IFERROR(__xludf.dummyfunction("IMPORTRANGE(XLOOKUP($A$15,Dados_Esc_JAB_2026!$C$3:$C$848,Dados_Esc_JAB_2026!$E$3:$E$848),""ESCOLA!I22"")"),0)</f>
        <v>0</v>
      </c>
      <c r="O15" s="27">
        <v>0</v>
      </c>
      <c r="P15" s="27">
        <f>SUM(J15,L15,N15)</f>
        <v>0</v>
      </c>
      <c r="Q15" s="28">
        <f>SUM(H15,O15,P15)</f>
        <v>63</v>
      </c>
      <c r="R15" s="15"/>
      <c r="S15" s="15"/>
      <c r="T15" s="15"/>
      <c r="U15" s="15"/>
      <c r="V15" s="15"/>
      <c r="W15" s="15"/>
      <c r="X15" s="15"/>
      <c r="Y15" s="40"/>
    </row>
    <row r="16" ht="14.5" spans="1:25">
      <c r="A16" s="13"/>
      <c r="B16" s="24"/>
      <c r="C16" s="24"/>
      <c r="D16" s="29" t="s">
        <v>1349</v>
      </c>
      <c r="E16" s="30">
        <f t="shared" ref="E16:Q16" si="2">SUM(E14-E15)</f>
        <v>0</v>
      </c>
      <c r="F16" s="30">
        <f t="shared" si="2"/>
        <v>1</v>
      </c>
      <c r="G16" s="30">
        <f t="shared" si="2"/>
        <v>1</v>
      </c>
      <c r="H16" s="30">
        <f t="shared" si="2"/>
        <v>2</v>
      </c>
      <c r="I16" s="30">
        <f t="shared" si="2"/>
        <v>0</v>
      </c>
      <c r="J16" s="30">
        <f t="shared" si="2"/>
        <v>0</v>
      </c>
      <c r="K16" s="30">
        <f t="shared" si="2"/>
        <v>0</v>
      </c>
      <c r="L16" s="30">
        <f t="shared" si="2"/>
        <v>0</v>
      </c>
      <c r="M16" s="30">
        <f t="shared" si="2"/>
        <v>0</v>
      </c>
      <c r="N16" s="30">
        <f t="shared" si="2"/>
        <v>0</v>
      </c>
      <c r="O16" s="30">
        <f t="shared" si="2"/>
        <v>0</v>
      </c>
      <c r="P16" s="30">
        <f t="shared" si="2"/>
        <v>0</v>
      </c>
      <c r="Q16" s="30">
        <f t="shared" si="2"/>
        <v>2</v>
      </c>
      <c r="R16" s="15"/>
      <c r="S16" s="15"/>
      <c r="T16" s="15"/>
      <c r="U16" s="15"/>
      <c r="V16" s="15"/>
      <c r="W16" s="15"/>
      <c r="X16" s="15"/>
      <c r="Y16" s="40"/>
    </row>
    <row r="17" ht="14.5" spans="1:25">
      <c r="A17" s="13"/>
      <c r="B17" s="14"/>
      <c r="C17" s="14"/>
      <c r="D17" s="14"/>
      <c r="E17" s="14"/>
      <c r="F17" s="14"/>
      <c r="G17" s="14"/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</row>
    <row r="18" ht="14.5" spans="1:25">
      <c r="A18" s="13"/>
      <c r="B18" s="14"/>
      <c r="C18" s="14"/>
      <c r="D18" s="14"/>
      <c r="E18" s="14"/>
      <c r="F18" s="14"/>
      <c r="G18" s="14"/>
      <c r="H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</row>
    <row r="19" ht="14.5" spans="1:25">
      <c r="A19" s="13"/>
      <c r="B19" s="14"/>
      <c r="C19" s="14"/>
      <c r="D19" s="14"/>
      <c r="E19" s="14"/>
      <c r="F19" s="14"/>
      <c r="G19" s="14"/>
      <c r="H19" s="1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</row>
    <row r="20" ht="29" spans="1:25">
      <c r="A20" s="53" t="s">
        <v>23</v>
      </c>
      <c r="B20" s="54" t="s">
        <v>15</v>
      </c>
      <c r="C20" s="55" t="s">
        <v>1351</v>
      </c>
      <c r="D20" s="55" t="s">
        <v>16</v>
      </c>
      <c r="E20" s="55" t="s">
        <v>17</v>
      </c>
      <c r="F20" s="55" t="s">
        <v>11</v>
      </c>
      <c r="G20" s="56" t="s">
        <v>18</v>
      </c>
      <c r="H20" s="56" t="s">
        <v>19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ht="15.75" customHeight="1" spans="1:25">
      <c r="A21" s="36" t="str">
        <f t="shared" ref="A21:A31" si="3">IF(B21&lt;&gt;"","REGIONAL 3","")</f>
        <v>REGIONAL 3</v>
      </c>
      <c r="B21" s="37" t="str">
        <f>IFERROR(__xludf.dummyfunction("QUERY(dados_02!$A$2:$H$675, ""SELECT Col1, Col2, Col3, Col4, Col5, Col6, Col7  where Col8 = 'REGIONAL 3' "")"),"29/01/2026 13:35:30")</f>
        <v>29/01/2026 13:35:30</v>
      </c>
      <c r="C21" s="38" t="str">
        <f>IFERROR(__xludf.dummyfunction("""COMPUTED_VALUE"""),"1")</f>
        <v>1</v>
      </c>
      <c r="D21" s="15" t="str">
        <f>IFERROR(__xludf.dummyfunction("""COMPUTED_VALUE"""),"J. D. D. S")</f>
        <v>J. D. D. S</v>
      </c>
      <c r="E21" s="39" t="str">
        <f>IFERROR(__xludf.dummyfunction("""COMPUTED_VALUE"""),"26/08/2024")</f>
        <v>26/08/2024</v>
      </c>
      <c r="F21" s="15" t="str">
        <f>IFERROR(__xludf.dummyfunction("""COMPUTED_VALUE"""),"003******39")</f>
        <v>003******39</v>
      </c>
      <c r="G21" s="15" t="str">
        <f>IFERROR(__xludf.dummyfunction("""COMPUTED_VALUE"""),"INFANTIL 1")</f>
        <v>INFANTIL 1</v>
      </c>
      <c r="H21" s="15" t="str">
        <f>IFERROR(__xludf.dummyfunction("""COMPUTED_VALUE"""),"CRECHE MUNDO ENCANTADO")</f>
        <v>CRECHE MUNDO ENCANTADO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5.75" customHeight="1" spans="1:25">
      <c r="A22" s="36" t="str">
        <f t="shared" si="3"/>
        <v>REGIONAL 3</v>
      </c>
      <c r="B22" s="37" t="str">
        <f>IFERROR(__xludf.dummyfunction("""COMPUTED_VALUE"""),"29/01/2026 14:12:29")</f>
        <v>29/01/2026 14:12:29</v>
      </c>
      <c r="C22" s="38" t="str">
        <f>IFERROR(__xludf.dummyfunction("""COMPUTED_VALUE"""),"2")</f>
        <v>2</v>
      </c>
      <c r="D22" s="15" t="str">
        <f>IFERROR(__xludf.dummyfunction("""COMPUTED_VALUE"""),"J. F. B. D. S. C")</f>
        <v>J. F. B. D. S. C</v>
      </c>
      <c r="E22" s="39" t="str">
        <f>IFERROR(__xludf.dummyfunction("""COMPUTED_VALUE"""),"13/03/2025")</f>
        <v>13/03/2025</v>
      </c>
      <c r="F22" s="15" t="str">
        <f>IFERROR(__xludf.dummyfunction("""COMPUTED_VALUE"""),"006******02")</f>
        <v>006******02</v>
      </c>
      <c r="G22" s="15" t="str">
        <f>IFERROR(__xludf.dummyfunction("""COMPUTED_VALUE"""),"INFANTIL 1")</f>
        <v>INFANTIL 1</v>
      </c>
      <c r="H22" s="15" t="str">
        <f>IFERROR(__xludf.dummyfunction("""COMPUTED_VALUE"""),"CRECHE MUNDO ENCANTADO")</f>
        <v>CRECHE MUNDO ENCANTADO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5.75" customHeight="1" spans="1:25">
      <c r="A23" s="36" t="str">
        <f t="shared" si="3"/>
        <v>REGIONAL 3</v>
      </c>
      <c r="B23" s="37" t="str">
        <f>IFERROR(__xludf.dummyfunction("""COMPUTED_VALUE"""),"19/02/2026 21:16:01")</f>
        <v>19/02/2026 21:16:01</v>
      </c>
      <c r="C23" s="38" t="str">
        <f>IFERROR(__xludf.dummyfunction("""COMPUTED_VALUE"""),"3")</f>
        <v>3</v>
      </c>
      <c r="D23" s="15" t="str">
        <f>IFERROR(__xludf.dummyfunction("""COMPUTED_VALUE"""),"H. A. D. S")</f>
        <v>H. A. D. S</v>
      </c>
      <c r="E23" s="39" t="str">
        <f>IFERROR(__xludf.dummyfunction("""COMPUTED_VALUE"""),"19/05/2024")</f>
        <v>19/05/2024</v>
      </c>
      <c r="F23" s="15" t="str">
        <f>IFERROR(__xludf.dummyfunction("""COMPUTED_VALUE"""),"003******24")</f>
        <v>003******24</v>
      </c>
      <c r="G23" s="15" t="str">
        <f>IFERROR(__xludf.dummyfunction("""COMPUTED_VALUE"""),"INFANTIL 1")</f>
        <v>INFANTIL 1</v>
      </c>
      <c r="H23" s="15" t="str">
        <f>IFERROR(__xludf.dummyfunction("""COMPUTED_VALUE"""),"CRECHE MUNDO ENCANTADO")</f>
        <v>CRECHE MUNDO ENCANTADO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5.75" customHeight="1" spans="1:25">
      <c r="A24" s="36" t="str">
        <f t="shared" si="3"/>
        <v>REGIONAL 3</v>
      </c>
      <c r="B24" s="37" t="str">
        <f>IFERROR(__xludf.dummyfunction("""COMPUTED_VALUE"""),"28/02/2026 20:58:43")</f>
        <v>28/02/2026 20:58:43</v>
      </c>
      <c r="C24" s="38" t="str">
        <f>IFERROR(__xludf.dummyfunction("""COMPUTED_VALUE"""),"4")</f>
        <v>4</v>
      </c>
      <c r="D24" s="15" t="str">
        <f>IFERROR(__xludf.dummyfunction("""COMPUTED_VALUE"""),"L. G. P. D. S")</f>
        <v>L. G. P. D. S</v>
      </c>
      <c r="E24" s="39" t="str">
        <f>IFERROR(__xludf.dummyfunction("""COMPUTED_VALUE"""),"12/04/2025")</f>
        <v>12/04/2025</v>
      </c>
      <c r="F24" s="15" t="str">
        <f>IFERROR(__xludf.dummyfunction("""COMPUTED_VALUE"""),"005******46")</f>
        <v>005******46</v>
      </c>
      <c r="G24" s="15" t="str">
        <f>IFERROR(__xludf.dummyfunction("""COMPUTED_VALUE"""),"INFANTIL 1")</f>
        <v>INFANTIL 1</v>
      </c>
      <c r="H24" s="15" t="str">
        <f>IFERROR(__xludf.dummyfunction("""COMPUTED_VALUE"""),"CRECHE MUNDO ENCANTADO")</f>
        <v>CRECHE MUNDO ENCANTADO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5.75" customHeight="1" spans="1:25">
      <c r="A25" s="36" t="str">
        <f t="shared" si="3"/>
        <v>REGIONAL 3</v>
      </c>
      <c r="B25" s="15" t="str">
        <f>IFERROR(__xludf.dummyfunction("""COMPUTED_VALUE"""),"28/04/2026 11:00:10")</f>
        <v>28/04/2026 11:00:10</v>
      </c>
      <c r="C25" s="38" t="str">
        <f>IFERROR(__xludf.dummyfunction("""COMPUTED_VALUE"""),"5")</f>
        <v>5</v>
      </c>
      <c r="D25" s="15" t="str">
        <f>IFERROR(__xludf.dummyfunction("""COMPUTED_VALUE"""),"M. G. S. G")</f>
        <v>M. G. S. G</v>
      </c>
      <c r="E25" s="15" t="str">
        <f>IFERROR(__xludf.dummyfunction("""COMPUTED_VALUE"""),"11/04/2025")</f>
        <v>11/04/2025</v>
      </c>
      <c r="F25" s="15" t="str">
        <f>IFERROR(__xludf.dummyfunction("""COMPUTED_VALUE"""),"005******19")</f>
        <v>005******19</v>
      </c>
      <c r="G25" s="15" t="str">
        <f>IFERROR(__xludf.dummyfunction("""COMPUTED_VALUE"""),"INFANTIL 1")</f>
        <v>INFANTIL 1</v>
      </c>
      <c r="H25" s="15" t="str">
        <f>IFERROR(__xludf.dummyfunction("""COMPUTED_VALUE"""),"CRECHE MUNDO ENCANTADO")</f>
        <v>CRECHE MUNDO ENCANTADO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5.75" customHeight="1" spans="1:25">
      <c r="A26" s="36" t="str">
        <f t="shared" si="3"/>
        <v>REGIONAL 3</v>
      </c>
      <c r="B26" s="15" t="str">
        <f>IFERROR(__xludf.dummyfunction("""COMPUTED_VALUE"""),"25/05/2026 18:39:15")</f>
        <v>25/05/2026 18:39:15</v>
      </c>
      <c r="C26" s="38" t="str">
        <f>IFERROR(__xludf.dummyfunction("""COMPUTED_VALUE"""),"6")</f>
        <v>6</v>
      </c>
      <c r="D26" s="15" t="str">
        <f>IFERROR(__xludf.dummyfunction("""COMPUTED_VALUE"""),"M. Y. R. M. V")</f>
        <v>M. Y. R. M. V</v>
      </c>
      <c r="E26" s="15" t="str">
        <f>IFERROR(__xludf.dummyfunction("""COMPUTED_VALUE"""),"29/12/2024")</f>
        <v>29/12/2024</v>
      </c>
      <c r="F26" s="15" t="str">
        <f>IFERROR(__xludf.dummyfunction("""COMPUTED_VALUE"""),"004******67")</f>
        <v>004******67</v>
      </c>
      <c r="G26" s="15" t="str">
        <f>IFERROR(__xludf.dummyfunction("""COMPUTED_VALUE"""),"INFANTIL 1")</f>
        <v>INFANTIL 1</v>
      </c>
      <c r="H26" s="15" t="str">
        <f>IFERROR(__xludf.dummyfunction("""COMPUTED_VALUE"""),"CRECHE MUNDO ENCANTADO")</f>
        <v>CRECHE MUNDO ENCANTADO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 spans="1:25">
      <c r="A27" s="36" t="str">
        <f t="shared" si="3"/>
        <v>REGIONAL 3</v>
      </c>
      <c r="B27" s="15" t="str">
        <f>IFERROR(__xludf.dummyfunction("""COMPUTED_VALUE"""),"09/07/2026 11:02:23")</f>
        <v>09/07/2026 11:02:23</v>
      </c>
      <c r="C27" s="38" t="str">
        <f>IFERROR(__xludf.dummyfunction("""COMPUTED_VALUE"""),"7")</f>
        <v>7</v>
      </c>
      <c r="D27" s="15" t="str">
        <f>IFERROR(__xludf.dummyfunction("""COMPUTED_VALUE"""),"M. H. S. d. m")</f>
        <v>M. H. S. d. m</v>
      </c>
      <c r="E27" s="15" t="str">
        <f>IFERROR(__xludf.dummyfunction("""COMPUTED_VALUE"""),"18/08/2024")</f>
        <v>18/08/2024</v>
      </c>
      <c r="F27" s="15" t="str">
        <f>IFERROR(__xludf.dummyfunction("""COMPUTED_VALUE"""),"003******22")</f>
        <v>003******22</v>
      </c>
      <c r="G27" s="15" t="str">
        <f>IFERROR(__xludf.dummyfunction("""COMPUTED_VALUE"""),"INFANTIL 1")</f>
        <v>INFANTIL 1</v>
      </c>
      <c r="H27" s="15" t="str">
        <f>IFERROR(__xludf.dummyfunction("""COMPUTED_VALUE"""),"CRECHE MUNDO ENCANTADO")</f>
        <v>CRECHE MUNDO ENCANTADO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 spans="1:25">
      <c r="A28" s="36" t="str">
        <f t="shared" si="3"/>
        <v>REGIONAL 3</v>
      </c>
      <c r="B28" s="15" t="str">
        <f>IFERROR(__xludf.dummyfunction("""COMPUTED_VALUE"""),"03/08/2026 15:31:56")</f>
        <v>03/08/2026 15:31:56</v>
      </c>
      <c r="C28" s="38" t="str">
        <f>IFERROR(__xludf.dummyfunction("""COMPUTED_VALUE"""),"8")</f>
        <v>8</v>
      </c>
      <c r="D28" s="15" t="str">
        <f>IFERROR(__xludf.dummyfunction("""COMPUTED_VALUE"""),"T. G. N. D. S")</f>
        <v>T. G. N. D. S</v>
      </c>
      <c r="E28" s="15" t="str">
        <f>IFERROR(__xludf.dummyfunction("""COMPUTED_VALUE"""),"29/06/2025")</f>
        <v>29/06/2025</v>
      </c>
      <c r="F28" s="15" t="str">
        <f>IFERROR(__xludf.dummyfunction("""COMPUTED_VALUE"""),"006******36")</f>
        <v>006******36</v>
      </c>
      <c r="G28" s="15" t="str">
        <f>IFERROR(__xludf.dummyfunction("""COMPUTED_VALUE"""),"INFANTIL 1")</f>
        <v>INFANTIL 1</v>
      </c>
      <c r="H28" s="15" t="str">
        <f>IFERROR(__xludf.dummyfunction("""COMPUTED_VALUE"""),"CRECHE MUNDO ENCANTADO")</f>
        <v>CRECHE MUNDO ENCANTADO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 spans="1:25">
      <c r="A29" s="36" t="str">
        <f t="shared" si="3"/>
        <v>REGIONAL 3</v>
      </c>
      <c r="B29" s="15" t="str">
        <f>IFERROR(__xludf.dummyfunction("""COMPUTED_VALUE"""),"12/08/2026 23:55:57")</f>
        <v>12/08/2026 23:55:57</v>
      </c>
      <c r="C29" s="38" t="str">
        <f>IFERROR(__xludf.dummyfunction("""COMPUTED_VALUE"""),"9")</f>
        <v>9</v>
      </c>
      <c r="D29" s="15" t="str">
        <f>IFERROR(__xludf.dummyfunction("""COMPUTED_VALUE"""),"M. L. A. B. d. S")</f>
        <v>M. L. A. B. d. S</v>
      </c>
      <c r="E29" s="15" t="str">
        <f>IFERROR(__xludf.dummyfunction("""COMPUTED_VALUE"""),"11/10/2024")</f>
        <v>11/10/2024</v>
      </c>
      <c r="F29" s="15" t="str">
        <f>IFERROR(__xludf.dummyfunction("""COMPUTED_VALUE"""),"004******77")</f>
        <v>004******77</v>
      </c>
      <c r="G29" s="15" t="str">
        <f>IFERROR(__xludf.dummyfunction("""COMPUTED_VALUE"""),"INFANTIL 1")</f>
        <v>INFANTIL 1</v>
      </c>
      <c r="H29" s="15" t="str">
        <f>IFERROR(__xludf.dummyfunction("""COMPUTED_VALUE"""),"CRECHE MUNDO ENCANTADO")</f>
        <v>CRECHE MUNDO ENCANTADO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 spans="1:25">
      <c r="A30" s="36" t="str">
        <f t="shared" si="3"/>
        <v>REGIONAL 3</v>
      </c>
      <c r="B30" s="15" t="str">
        <f>IFERROR(__xludf.dummyfunction("""COMPUTED_VALUE"""),"15/09/2026 09:58:57")</f>
        <v>15/09/2026 09:58:57</v>
      </c>
      <c r="C30" s="38" t="str">
        <f>IFERROR(__xludf.dummyfunction("""COMPUTED_VALUE"""),"10")</f>
        <v>10</v>
      </c>
      <c r="D30" s="15" t="str">
        <f>IFERROR(__xludf.dummyfunction("""COMPUTED_VALUE"""),"E. J. S. G")</f>
        <v>E. J. S. G</v>
      </c>
      <c r="E30" s="15" t="str">
        <f>IFERROR(__xludf.dummyfunction("""COMPUTED_VALUE"""),"22/07/2024")</f>
        <v>22/07/2024</v>
      </c>
      <c r="F30" s="15" t="str">
        <f>IFERROR(__xludf.dummyfunction("""COMPUTED_VALUE"""),"003******66")</f>
        <v>003******66</v>
      </c>
      <c r="G30" s="15" t="str">
        <f>IFERROR(__xludf.dummyfunction("""COMPUTED_VALUE"""),"INFANTIL 1")</f>
        <v>INFANTIL 1</v>
      </c>
      <c r="H30" s="15" t="str">
        <f>IFERROR(__xludf.dummyfunction("""COMPUTED_VALUE"""),"CRECHE MUNDO ENCANTADO")</f>
        <v>CRECHE MUNDO ENCANTADO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5.75" customHeight="1" spans="1:25">
      <c r="A31" s="36" t="str">
        <f t="shared" si="3"/>
        <v>REGIONAL 3</v>
      </c>
      <c r="B31" s="15" t="str">
        <f>IFERROR(__xludf.dummyfunction("""COMPUTED_VALUE"""),"21/09/2026 10:15:31")</f>
        <v>21/09/2026 10:15:31</v>
      </c>
      <c r="C31" s="38" t="str">
        <f>IFERROR(__xludf.dummyfunction("""COMPUTED_VALUE"""),"11")</f>
        <v>11</v>
      </c>
      <c r="D31" s="15" t="str">
        <f>IFERROR(__xludf.dummyfunction("""COMPUTED_VALUE"""),"R. P. S. d. N")</f>
        <v>R. P. S. d. N</v>
      </c>
      <c r="E31" s="15" t="str">
        <f>IFERROR(__xludf.dummyfunction("""COMPUTED_VALUE"""),"27/11/2024")</f>
        <v>27/11/2024</v>
      </c>
      <c r="F31" s="15" t="str">
        <f>IFERROR(__xludf.dummyfunction("""COMPUTED_VALUE"""),"004******84")</f>
        <v>004******84</v>
      </c>
      <c r="G31" s="15" t="str">
        <f>IFERROR(__xludf.dummyfunction("""COMPUTED_VALUE"""),"INFANTIL 1")</f>
        <v>INFANTIL 1</v>
      </c>
      <c r="H31" s="15" t="str">
        <f>IFERROR(__xludf.dummyfunction("""COMPUTED_VALUE"""),"CRECHE MUNDO ENCANTADO")</f>
        <v>CRECHE MUNDO ENCANTADO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</sheetData>
  <mergeCells count="15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D4:D7"/>
    <mergeCell ref="Q5:Q6"/>
    <mergeCell ref="B4:C7"/>
    <mergeCell ref="B8:C10"/>
    <mergeCell ref="B11:C13"/>
    <mergeCell ref="B14:C16"/>
  </mergeCells>
  <conditionalFormatting sqref="E8:N16">
    <cfRule type="expression" dxfId="0" priority="2">
      <formula>LEN(TRIM(E8))=0</formula>
    </cfRule>
  </conditionalFormatting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Y44"/>
  <sheetViews>
    <sheetView workbookViewId="0">
      <selection activeCell="M21" sqref="M21"/>
    </sheetView>
  </sheetViews>
  <sheetFormatPr defaultColWidth="14.43" defaultRowHeight="15" customHeight="1"/>
  <cols>
    <col min="1" max="1" width="13.43" customWidth="1"/>
    <col min="2" max="2" width="24.43" customWidth="1"/>
    <col min="3" max="3" width="9.71" customWidth="1"/>
    <col min="4" max="4" width="42.58" customWidth="1"/>
    <col min="5" max="5" width="15.86" customWidth="1"/>
    <col min="6" max="6" width="16" customWidth="1"/>
    <col min="7" max="7" width="13" customWidth="1"/>
    <col min="8" max="8" width="72.57" customWidth="1"/>
    <col min="9" max="9" width="6.43" customWidth="1"/>
    <col min="10" max="10" width="11.71" customWidth="1"/>
    <col min="11" max="11" width="6.57" customWidth="1"/>
    <col min="12" max="12" width="10.58" customWidth="1"/>
    <col min="13" max="13" width="7.14" customWidth="1"/>
    <col min="14" max="14" width="9.58" customWidth="1"/>
    <col min="15" max="15" width="4.57" customWidth="1"/>
    <col min="16" max="16" width="9.86" customWidth="1"/>
    <col min="18" max="24" width="14.43" hidden="1"/>
  </cols>
  <sheetData>
    <row r="1" customHeight="1" spans="1:25">
      <c r="A1" s="13"/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</row>
    <row r="2" customHeight="1" spans="1:25">
      <c r="A2" s="17"/>
      <c r="B2" s="18" t="s">
        <v>1356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5"/>
      <c r="S2" s="15"/>
      <c r="T2" s="15"/>
      <c r="U2" s="15"/>
      <c r="V2" s="15"/>
      <c r="W2" s="15"/>
      <c r="X2" s="15"/>
      <c r="Y2" s="16"/>
    </row>
    <row r="3" customHeight="1" spans="1:25">
      <c r="A3" s="13"/>
      <c r="B3" s="14"/>
      <c r="C3" s="14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customHeight="1" spans="1:25">
      <c r="A4" s="19"/>
      <c r="B4" s="20" t="s">
        <v>24</v>
      </c>
      <c r="C4" s="20"/>
      <c r="D4" s="21" t="s">
        <v>1330</v>
      </c>
      <c r="E4" s="21" t="s">
        <v>1331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S4" s="15"/>
      <c r="T4" s="15"/>
      <c r="U4" s="15"/>
      <c r="V4" s="15"/>
      <c r="W4" s="15"/>
      <c r="X4" s="15"/>
      <c r="Y4" s="16"/>
    </row>
    <row r="5" customHeight="1" spans="1:25">
      <c r="A5" s="19"/>
      <c r="B5" s="20"/>
      <c r="C5" s="20"/>
      <c r="D5" s="21"/>
      <c r="E5" s="21" t="s">
        <v>1332</v>
      </c>
      <c r="F5" s="21"/>
      <c r="G5" s="21"/>
      <c r="H5" s="21"/>
      <c r="I5" s="21" t="s">
        <v>1333</v>
      </c>
      <c r="J5" s="21"/>
      <c r="K5" s="21" t="s">
        <v>1334</v>
      </c>
      <c r="L5" s="21"/>
      <c r="M5" s="21"/>
      <c r="N5" s="21"/>
      <c r="O5" s="21"/>
      <c r="P5" s="21"/>
      <c r="Q5" s="22" t="s">
        <v>1335</v>
      </c>
      <c r="R5" s="15"/>
      <c r="S5" s="15"/>
      <c r="T5" s="15"/>
      <c r="U5" s="15"/>
      <c r="V5" s="15"/>
      <c r="W5" s="15"/>
      <c r="X5" s="15"/>
      <c r="Y5" s="16"/>
    </row>
    <row r="6" customHeight="1" spans="1:25">
      <c r="A6" s="19"/>
      <c r="B6" s="20"/>
      <c r="C6" s="20"/>
      <c r="D6" s="21"/>
      <c r="E6" s="21" t="s">
        <v>1336</v>
      </c>
      <c r="F6" s="21" t="s">
        <v>1337</v>
      </c>
      <c r="G6" s="21" t="s">
        <v>1338</v>
      </c>
      <c r="H6" s="23" t="s">
        <v>1339</v>
      </c>
      <c r="I6" s="21" t="s">
        <v>1338</v>
      </c>
      <c r="J6" s="21"/>
      <c r="K6" s="21" t="s">
        <v>1340</v>
      </c>
      <c r="L6" s="21"/>
      <c r="M6" s="21" t="s">
        <v>1341</v>
      </c>
      <c r="N6" s="21"/>
      <c r="O6" s="23" t="s">
        <v>1339</v>
      </c>
      <c r="P6" s="23"/>
      <c r="Q6" s="22"/>
      <c r="R6" s="15"/>
      <c r="S6" s="15"/>
      <c r="T6" s="15"/>
      <c r="U6" s="15"/>
      <c r="V6" s="15"/>
      <c r="W6" s="15"/>
      <c r="X6" s="15"/>
      <c r="Y6" s="16"/>
    </row>
    <row r="7" customHeight="1" spans="1:25">
      <c r="A7" s="19"/>
      <c r="B7" s="20"/>
      <c r="C7" s="20"/>
      <c r="D7" s="21"/>
      <c r="E7" s="21" t="s">
        <v>1342</v>
      </c>
      <c r="F7" s="21" t="s">
        <v>1342</v>
      </c>
      <c r="G7" s="21" t="s">
        <v>1342</v>
      </c>
      <c r="H7" s="23" t="s">
        <v>1342</v>
      </c>
      <c r="I7" s="21" t="s">
        <v>1343</v>
      </c>
      <c r="J7" s="21" t="s">
        <v>1344</v>
      </c>
      <c r="K7" s="21" t="s">
        <v>1343</v>
      </c>
      <c r="L7" s="21" t="s">
        <v>1344</v>
      </c>
      <c r="M7" s="21" t="s">
        <v>1343</v>
      </c>
      <c r="N7" s="21" t="s">
        <v>1344</v>
      </c>
      <c r="O7" s="23" t="s">
        <v>1343</v>
      </c>
      <c r="P7" s="23" t="s">
        <v>1344</v>
      </c>
      <c r="Q7" s="22" t="s">
        <v>1345</v>
      </c>
      <c r="R7" s="15"/>
      <c r="S7" s="15"/>
      <c r="T7" s="15"/>
      <c r="U7" s="15"/>
      <c r="V7" s="15"/>
      <c r="W7" s="15"/>
      <c r="X7" s="15"/>
      <c r="Y7" s="16"/>
    </row>
    <row r="8" customHeight="1" spans="1:25">
      <c r="A8" s="13"/>
      <c r="B8" s="24" t="s">
        <v>650</v>
      </c>
      <c r="C8" s="24"/>
      <c r="D8" s="25" t="s">
        <v>1347</v>
      </c>
      <c r="E8" s="26">
        <f>IFERROR(__xludf.dummyfunction("IMPORTRANGE(XLOOKUP($A$9,Dados_Esc_JAB_2026!$C$3:$C$848,Dados_Esc_JAB_2026!$E$3:$E$848),""ESCOLA!P12"")"),30)</f>
        <v>30</v>
      </c>
      <c r="F8" s="26">
        <f>IFERROR(__xludf.dummyfunction("IMPORTRANGE(XLOOKUP($A$9,Dados_Esc_JAB_2026!$C$3:$C$848,Dados_Esc_JAB_2026!$E$3:$E$848),""ESCOLA!P14"")"),39)</f>
        <v>39</v>
      </c>
      <c r="G8" s="58">
        <f>IFERROR(__xludf.dummyfunction("IMPORTRANGE(XLOOKUP($A$9,Dados_Esc_JAB_2026!$C$3:$C$848,Dados_Esc_JAB_2026!$E$3:$E$848),""ESCOLA!P16"")"),60)</f>
        <v>60</v>
      </c>
      <c r="H8" s="27">
        <f>SUM(E8:G8)</f>
        <v>129</v>
      </c>
      <c r="I8" s="26">
        <v>0</v>
      </c>
      <c r="J8" s="26">
        <v>0</v>
      </c>
      <c r="K8" s="26">
        <f>IFERROR(__xludf.dummyfunction("IMPORTRANGE(XLOOKUP($A$9,Dados_Esc_JAB_2026!$C$3:$C$848,Dados_Esc_JAB_2026!$E$3:$E$848),""ESCOLA!D20"")"),40)</f>
        <v>40</v>
      </c>
      <c r="L8" s="26">
        <f>IFERROR(__xludf.dummyfunction("IMPORTRANGE(XLOOKUP($A$9,Dados_Esc_JAB_2026!$C$3:$C$848,Dados_Esc_JAB_2026!$E$3:$E$848),""ESCOLA!H20"")"),40)</f>
        <v>40</v>
      </c>
      <c r="M8" s="26">
        <f>IFERROR(__xludf.dummyfunction("IMPORTRANGE(XLOOKUP($A$9,Dados_Esc_JAB_2026!$C$3:$C$848,Dados_Esc_JAB_2026!$E$3:$E$848),""ESCOLA!D22"")"),50)</f>
        <v>50</v>
      </c>
      <c r="N8" s="26">
        <f>IFERROR(__xludf.dummyfunction("IMPORTRANGE(XLOOKUP($A$9,Dados_Esc_JAB_2026!$C$3:$C$848,Dados_Esc_JAB_2026!$E$3:$E$848),""ESCOLA!H22"")"),50)</f>
        <v>50</v>
      </c>
      <c r="O8" s="27">
        <f>SUM(I8,K8,M8)</f>
        <v>90</v>
      </c>
      <c r="P8" s="27">
        <f>SUM(J8,L8,N8)</f>
        <v>90</v>
      </c>
      <c r="Q8" s="28">
        <f>SUM(H8,O8,P8)</f>
        <v>309</v>
      </c>
      <c r="R8" s="15"/>
      <c r="S8" s="15"/>
      <c r="T8" s="15"/>
      <c r="U8" s="15"/>
      <c r="V8" s="15"/>
      <c r="W8" s="15"/>
      <c r="X8" s="15"/>
      <c r="Y8" s="16"/>
    </row>
    <row r="9" customHeight="1" spans="1:25">
      <c r="A9" s="13" t="s">
        <v>649</v>
      </c>
      <c r="B9" s="24"/>
      <c r="C9" s="24"/>
      <c r="D9" s="25" t="s">
        <v>1348</v>
      </c>
      <c r="E9" s="26">
        <f>IFERROR(__xludf.dummyfunction("IMPORTRANGE(XLOOKUP($A$9,Dados_Esc_JAB_2026!$C$3:$C$848,Dados_Esc_JAB_2026!$E$3:$E$848),""ESCOLA!Q12"")"),30)</f>
        <v>30</v>
      </c>
      <c r="F9" s="26">
        <f>IFERROR(__xludf.dummyfunction("IMPORTRANGE(XLOOKUP($A$9,Dados_Esc_JAB_2026!$C$3:$C$848,Dados_Esc_JAB_2026!$E$3:$E$848),""ESCOLA!Q14"")"),39)</f>
        <v>39</v>
      </c>
      <c r="G9" s="26">
        <f>IFERROR(__xludf.dummyfunction("IMPORTRANGE(XLOOKUP($A$9,Dados_Esc_JAB_2026!$C$3:$C$848,Dados_Esc_JAB_2026!$E$3:$E$848),""ESCOLA!Q16"")"),60)</f>
        <v>60</v>
      </c>
      <c r="H9" s="27">
        <f>SUM(E9:G9)</f>
        <v>129</v>
      </c>
      <c r="I9" s="26">
        <f>IFERROR(__xludf.dummyfunction("IMPORTRANGE(XLOOKUP($A$9,Dados_Esc_JAB_2026!$C$3:$C$848,Dados_Esc_JAB_2026!$E$3:$E$848),""ESCOLA!E18"")"),0)</f>
        <v>0</v>
      </c>
      <c r="J9" s="26">
        <f>IFERROR(__xludf.dummyfunction("IMPORTRANGE(XLOOKUP($A$9,Dados_Esc_JAB_2026!$C$3:$C$848,Dados_Esc_JAB_2026!$E$3:$E$848),""ESCOLA!I18"")"),0)</f>
        <v>0</v>
      </c>
      <c r="K9" s="26">
        <f>IFERROR(__xludf.dummyfunction("IMPORTRANGE(XLOOKUP($A$9,Dados_Esc_JAB_2026!$C$3:$C$848,Dados_Esc_JAB_2026!$E$3:$E$848),""ESCOLA!E20"")"),40)</f>
        <v>40</v>
      </c>
      <c r="L9" s="26">
        <f>IFERROR(__xludf.dummyfunction("IMPORTRANGE(XLOOKUP($A$9,Dados_Esc_JAB_2026!$C$3:$C$848,Dados_Esc_JAB_2026!$E$3:$E$848),""ESCOLA!I20"")"),40)</f>
        <v>40</v>
      </c>
      <c r="M9" s="26">
        <f>IFERROR(__xludf.dummyfunction("IMPORTRANGE(XLOOKUP($A$9,Dados_Esc_JAB_2026!$C$3:$C$848,Dados_Esc_JAB_2026!$E$3:$E$848),""ESCOLA!E22"")"),50)</f>
        <v>50</v>
      </c>
      <c r="N9" s="26">
        <f>IFERROR(__xludf.dummyfunction("IMPORTRANGE(XLOOKUP($A$9,Dados_Esc_JAB_2026!$C$3:$C$848,Dados_Esc_JAB_2026!$E$3:$E$848),""ESCOLA!I22"")"),50)</f>
        <v>50</v>
      </c>
      <c r="O9" s="27">
        <f>SUM(I9,K9,M9)</f>
        <v>90</v>
      </c>
      <c r="P9" s="27">
        <f>SUM(J9,L9,N9)</f>
        <v>90</v>
      </c>
      <c r="Q9" s="28">
        <f>SUM(H9,O9,P9)</f>
        <v>309</v>
      </c>
      <c r="R9" s="15"/>
      <c r="S9" s="15"/>
      <c r="T9" s="15"/>
      <c r="U9" s="15"/>
      <c r="V9" s="15"/>
      <c r="W9" s="15"/>
      <c r="X9" s="15"/>
      <c r="Y9" s="16"/>
    </row>
    <row r="10" customHeight="1" spans="1:25">
      <c r="A10" s="13"/>
      <c r="B10" s="24"/>
      <c r="C10" s="24"/>
      <c r="D10" s="29" t="s">
        <v>1349</v>
      </c>
      <c r="E10" s="30">
        <f t="shared" ref="E10:Q10" si="0">SUM(E8-E9)</f>
        <v>0</v>
      </c>
      <c r="F10" s="30">
        <f t="shared" si="0"/>
        <v>0</v>
      </c>
      <c r="G10" s="30">
        <f t="shared" si="0"/>
        <v>0</v>
      </c>
      <c r="H10" s="30">
        <f t="shared" si="0"/>
        <v>0</v>
      </c>
      <c r="I10" s="30">
        <f t="shared" si="0"/>
        <v>0</v>
      </c>
      <c r="J10" s="30">
        <f t="shared" si="0"/>
        <v>0</v>
      </c>
      <c r="K10" s="30">
        <f t="shared" si="0"/>
        <v>0</v>
      </c>
      <c r="L10" s="30">
        <f t="shared" si="0"/>
        <v>0</v>
      </c>
      <c r="M10" s="30">
        <f t="shared" si="0"/>
        <v>0</v>
      </c>
      <c r="N10" s="30">
        <f t="shared" si="0"/>
        <v>0</v>
      </c>
      <c r="O10" s="30">
        <f t="shared" si="0"/>
        <v>0</v>
      </c>
      <c r="P10" s="30">
        <f t="shared" si="0"/>
        <v>0</v>
      </c>
      <c r="Q10" s="30">
        <f t="shared" si="0"/>
        <v>0</v>
      </c>
      <c r="R10" s="15"/>
      <c r="S10" s="15"/>
      <c r="T10" s="15"/>
      <c r="U10" s="15"/>
      <c r="V10" s="15"/>
      <c r="W10" s="15"/>
      <c r="X10" s="15"/>
      <c r="Y10" s="16"/>
    </row>
    <row r="11" customHeight="1" spans="1:25">
      <c r="A11" s="13"/>
      <c r="B11" s="24" t="s">
        <v>1357</v>
      </c>
      <c r="C11" s="24"/>
      <c r="D11" s="25" t="s">
        <v>1347</v>
      </c>
      <c r="E11" s="58">
        <v>0</v>
      </c>
      <c r="F11" s="58">
        <v>0</v>
      </c>
      <c r="G11" s="58">
        <v>0</v>
      </c>
      <c r="H11" s="27">
        <f>SUM(E11:G11)</f>
        <v>0</v>
      </c>
      <c r="I11" s="26">
        <f>IFERROR(__xludf.dummyfunction("IMPORTRANGE(XLOOKUP($A$12,Dados_Esc_JAB_2026!$C$3:$C$848,Dados_Esc_JAB_2026!$E$3:$E$848),""ESCOLA!D18"")"),40)</f>
        <v>40</v>
      </c>
      <c r="J11" s="26">
        <f>IFERROR(__xludf.dummyfunction("IMPORTRANGE(XLOOKUP($A$12,Dados_Esc_JAB_2026!$C$3:$C$848,Dados_Esc_JAB_2026!$E$3:$E$848),""ESCOLA!H18"")"),20)</f>
        <v>20</v>
      </c>
      <c r="K11" s="26">
        <f>IFERROR(__xludf.dummyfunction("IMPORTRANGE(XLOOKUP($A$12,Dados_Esc_JAB_2026!$C$3:$C$848,Dados_Esc_JAB_2026!$E$3:$E$848),""ESCOLA!D20"")"),20)</f>
        <v>20</v>
      </c>
      <c r="L11" s="26">
        <f>IFERROR(__xludf.dummyfunction("IMPORTRANGE(XLOOKUP($A$12,Dados_Esc_JAB_2026!$C$3:$C$848,Dados_Esc_JAB_2026!$E$3:$E$848),""ESCOLA!H20"")"),40)</f>
        <v>40</v>
      </c>
      <c r="M11" s="26">
        <f>IFERROR(__xludf.dummyfunction("IMPORTRANGE(XLOOKUP($A$12,Dados_Esc_JAB_2026!$C$3:$C$848,Dados_Esc_JAB_2026!$E$3:$E$848),""ESCOLA!D22"")"),40)</f>
        <v>40</v>
      </c>
      <c r="N11" s="26">
        <f>IFERROR(__xludf.dummyfunction("IMPORTRANGE(XLOOKUP($A$12,Dados_Esc_JAB_2026!$C$3:$C$848,Dados_Esc_JAB_2026!$E$3:$E$848),""ESCOLA!H22"")"),20)</f>
        <v>20</v>
      </c>
      <c r="O11" s="27">
        <f>SUM(I11,K11,M11)</f>
        <v>100</v>
      </c>
      <c r="P11" s="27">
        <f>SUM(J11,L11,N11)</f>
        <v>80</v>
      </c>
      <c r="Q11" s="28">
        <f>SUM(H11,O11,P11)</f>
        <v>180</v>
      </c>
      <c r="R11" s="15"/>
      <c r="S11" s="15"/>
      <c r="T11" s="15"/>
      <c r="U11" s="15"/>
      <c r="V11" s="15"/>
      <c r="W11" s="15"/>
      <c r="X11" s="15"/>
      <c r="Y11" s="16"/>
    </row>
    <row r="12" customHeight="1" spans="1:25">
      <c r="A12" s="13" t="s">
        <v>658</v>
      </c>
      <c r="B12" s="24"/>
      <c r="C12" s="24"/>
      <c r="D12" s="25" t="s">
        <v>1348</v>
      </c>
      <c r="E12" s="26">
        <f>IFERROR(__xludf.dummyfunction("IMPORTRANGE(XLOOKUP($A$12,Dados_Esc_JAB_2026!$C$3:$C$848,Dados_Esc_JAB_2026!$E$3:$E$848),""ESCOLA!Q12"")"),0)</f>
        <v>0</v>
      </c>
      <c r="F12" s="26">
        <f>IFERROR(__xludf.dummyfunction("IMPORTRANGE(XLOOKUP($A$12,Dados_Esc_JAB_2026!$C$3:$C$848,Dados_Esc_JAB_2026!$E$3:$E$848),""ESCOLA!Q14"")"),0)</f>
        <v>0</v>
      </c>
      <c r="G12" s="58">
        <v>0</v>
      </c>
      <c r="H12" s="27">
        <f>SUM(E12:G12)</f>
        <v>0</v>
      </c>
      <c r="I12" s="26">
        <f>IFERROR(__xludf.dummyfunction("IMPORTRANGE(XLOOKUP($A$12,Dados_Esc_JAB_2026!$C$3:$C$848,Dados_Esc_JAB_2026!$E$3:$E$848),""ESCOLA!E18"")"),33)</f>
        <v>33</v>
      </c>
      <c r="J12" s="26">
        <f>IFERROR(__xludf.dummyfunction("IMPORTRANGE(XLOOKUP($A$12,Dados_Esc_JAB_2026!$C$3:$C$848,Dados_Esc_JAB_2026!$E$3:$E$848),""ESCOLA!I18"")"),17)</f>
        <v>17</v>
      </c>
      <c r="K12" s="26">
        <f>IFERROR(__xludf.dummyfunction("IMPORTRANGE(XLOOKUP($A$12,Dados_Esc_JAB_2026!$C$3:$C$848,Dados_Esc_JAB_2026!$E$3:$E$848),""ESCOLA!E20"")"),15)</f>
        <v>15</v>
      </c>
      <c r="L12" s="26">
        <f>IFERROR(__xludf.dummyfunction("IMPORTRANGE(XLOOKUP($A$12,Dados_Esc_JAB_2026!$C$3:$C$848,Dados_Esc_JAB_2026!$E$3:$E$848),""ESCOLA!I20"")"),33)</f>
        <v>33</v>
      </c>
      <c r="M12" s="26">
        <f>IFERROR(__xludf.dummyfunction("IMPORTRANGE(XLOOKUP($A$12,Dados_Esc_JAB_2026!$C$3:$C$848,Dados_Esc_JAB_2026!$E$3:$E$848),""ESCOLA!E22"")"),34)</f>
        <v>34</v>
      </c>
      <c r="N12" s="26">
        <f>IFERROR(__xludf.dummyfunction("IMPORTRANGE(XLOOKUP($A$12,Dados_Esc_JAB_2026!$C$3:$C$848,Dados_Esc_JAB_2026!$E$3:$E$848),""ESCOLA!I22"")"),18)</f>
        <v>18</v>
      </c>
      <c r="O12" s="27">
        <f>SUM(I12,K12,M12)</f>
        <v>82</v>
      </c>
      <c r="P12" s="27">
        <f>SUM(J12,L12,N12)</f>
        <v>68</v>
      </c>
      <c r="Q12" s="28">
        <f>SUM(H12,O12,P12)</f>
        <v>150</v>
      </c>
      <c r="R12" s="15"/>
      <c r="S12" s="15"/>
      <c r="T12" s="15"/>
      <c r="U12" s="15"/>
      <c r="V12" s="15"/>
      <c r="W12" s="15"/>
      <c r="X12" s="15"/>
      <c r="Y12" s="16"/>
    </row>
    <row r="13" customHeight="1" spans="1:25">
      <c r="A13" s="13"/>
      <c r="B13" s="24"/>
      <c r="C13" s="24"/>
      <c r="D13" s="29" t="s">
        <v>1349</v>
      </c>
      <c r="E13" s="30">
        <f t="shared" ref="E13:Q13" si="1">SUM(E11-E12)</f>
        <v>0</v>
      </c>
      <c r="F13" s="30">
        <f t="shared" si="1"/>
        <v>0</v>
      </c>
      <c r="G13" s="30">
        <f t="shared" si="1"/>
        <v>0</v>
      </c>
      <c r="H13" s="30">
        <f t="shared" si="1"/>
        <v>0</v>
      </c>
      <c r="I13" s="30">
        <f t="shared" si="1"/>
        <v>7</v>
      </c>
      <c r="J13" s="30">
        <f t="shared" si="1"/>
        <v>3</v>
      </c>
      <c r="K13" s="30">
        <f t="shared" si="1"/>
        <v>5</v>
      </c>
      <c r="L13" s="30">
        <f t="shared" si="1"/>
        <v>7</v>
      </c>
      <c r="M13" s="30">
        <f t="shared" si="1"/>
        <v>6</v>
      </c>
      <c r="N13" s="30">
        <f t="shared" si="1"/>
        <v>2</v>
      </c>
      <c r="O13" s="30">
        <f t="shared" si="1"/>
        <v>18</v>
      </c>
      <c r="P13" s="30">
        <f t="shared" si="1"/>
        <v>12</v>
      </c>
      <c r="Q13" s="30">
        <f t="shared" si="1"/>
        <v>30</v>
      </c>
      <c r="R13" s="15"/>
      <c r="S13" s="15"/>
      <c r="T13" s="15"/>
      <c r="U13" s="15"/>
      <c r="V13" s="15"/>
      <c r="W13" s="15"/>
      <c r="X13" s="15"/>
      <c r="Y13" s="16"/>
    </row>
    <row r="14" customHeight="1" spans="1:25">
      <c r="A14" s="13"/>
      <c r="B14" s="14"/>
      <c r="C14" s="14"/>
      <c r="D14" s="14"/>
      <c r="E14" s="14"/>
      <c r="F14" s="14"/>
      <c r="G14" s="14"/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</row>
    <row r="15" customHeight="1" spans="1:25">
      <c r="A15" s="13"/>
      <c r="B15" s="14"/>
      <c r="C15" s="14"/>
      <c r="D15" s="14"/>
      <c r="E15" s="14"/>
      <c r="F15" s="14"/>
      <c r="G15" s="14"/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</row>
    <row r="16" customHeight="1" spans="1:25">
      <c r="A16" s="53" t="s">
        <v>23</v>
      </c>
      <c r="B16" s="54" t="s">
        <v>15</v>
      </c>
      <c r="C16" s="55" t="s">
        <v>1351</v>
      </c>
      <c r="D16" s="55" t="s">
        <v>16</v>
      </c>
      <c r="E16" s="55" t="s">
        <v>17</v>
      </c>
      <c r="F16" s="55" t="s">
        <v>11</v>
      </c>
      <c r="G16" s="56" t="s">
        <v>18</v>
      </c>
      <c r="H16" s="56" t="s">
        <v>19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customHeight="1" spans="1:25">
      <c r="A17" s="36" t="str">
        <f t="shared" ref="A17:A39" si="2">IF(B17&lt;&gt;"","REGIONAL 4","")</f>
        <v>REGIONAL 4</v>
      </c>
      <c r="B17" s="37" t="str">
        <f>IFERROR(__xludf.dummyfunction("QUERY(dados_02!$A$2:$H$675, ""SELECT Col1, Col2, Col3, Col4, Col5, Col6, Col7  where Col8 = 'REGIONAL 4' "")"),"02/03/2026 13:05:13")</f>
        <v>02/03/2026 13:05:13</v>
      </c>
      <c r="C17" s="38" t="str">
        <f>IFERROR(__xludf.dummyfunction("""COMPUTED_VALUE"""),"1")</f>
        <v>1</v>
      </c>
      <c r="D17" s="15" t="str">
        <f>IFERROR(__xludf.dummyfunction("""COMPUTED_VALUE"""),"A. V. D. S. L")</f>
        <v>A. V. D. S. L</v>
      </c>
      <c r="E17" s="39" t="str">
        <f>IFERROR(__xludf.dummyfunction("""COMPUTED_VALUE"""),"15/11/2025")</f>
        <v>15/11/2025</v>
      </c>
      <c r="F17" s="15" t="str">
        <f>IFERROR(__xludf.dummyfunction("""COMPUTED_VALUE"""),"024******00")</f>
        <v>024******00</v>
      </c>
      <c r="G17" s="15" t="str">
        <f>IFERROR(__xludf.dummyfunction("""COMPUTED_VALUE"""),"INFANTIL 1")</f>
        <v>INFANTIL 1</v>
      </c>
      <c r="H17" s="15" t="str">
        <f>IFERROR(__xludf.dummyfunction("""COMPUTED_VALUE"""),"CENTRO MUNICIPAL DE EDUCAÇÃO INFANTIL MARCOS FREIRE")</f>
        <v>CENTRO MUNICIPAL DE EDUCAÇÃO INFANTIL MARCOS FREIRE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customHeight="1" spans="1:25">
      <c r="A18" s="36" t="str">
        <f t="shared" si="2"/>
        <v>REGIONAL 4</v>
      </c>
      <c r="B18" s="37" t="str">
        <f>IFERROR(__xludf.dummyfunction("""COMPUTED_VALUE"""),"03/03/2026 09:31:27")</f>
        <v>03/03/2026 09:31:27</v>
      </c>
      <c r="C18" s="38" t="str">
        <f>IFERROR(__xludf.dummyfunction("""COMPUTED_VALUE"""),"2")</f>
        <v>2</v>
      </c>
      <c r="D18" s="15" t="str">
        <f>IFERROR(__xludf.dummyfunction("""COMPUTED_VALUE"""),"J. K. G. D. N")</f>
        <v>J. K. G. D. N</v>
      </c>
      <c r="E18" s="39" t="str">
        <f>IFERROR(__xludf.dummyfunction("""COMPUTED_VALUE"""),"25/07/2024")</f>
        <v>25/07/2024</v>
      </c>
      <c r="F18" s="15" t="str">
        <f>IFERROR(__xludf.dummyfunction("""COMPUTED_VALUE"""),"003******88")</f>
        <v>003******88</v>
      </c>
      <c r="G18" s="15" t="str">
        <f>IFERROR(__xludf.dummyfunction("""COMPUTED_VALUE"""),"INFANTIL 1")</f>
        <v>INFANTIL 1</v>
      </c>
      <c r="H18" s="15" t="str">
        <f>IFERROR(__xludf.dummyfunction("""COMPUTED_VALUE"""),"CENTRO MUNICIPAL DE EDUCAÇÃO INFANTIL MARCOS FREIRE")</f>
        <v>CENTRO MUNICIPAL DE EDUCAÇÃO INFANTIL MARCOS FREIRE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customHeight="1" spans="1:25">
      <c r="A19" s="36" t="str">
        <f t="shared" si="2"/>
        <v>REGIONAL 4</v>
      </c>
      <c r="B19" s="37" t="str">
        <f>IFERROR(__xludf.dummyfunction("""COMPUTED_VALUE"""),"11/03/2026 16:45:43")</f>
        <v>11/03/2026 16:45:43</v>
      </c>
      <c r="C19" s="38" t="str">
        <f>IFERROR(__xludf.dummyfunction("""COMPUTED_VALUE"""),"3")</f>
        <v>3</v>
      </c>
      <c r="D19" s="15" t="str">
        <f>IFERROR(__xludf.dummyfunction("""COMPUTED_VALUE"""),"J. C. D. S")</f>
        <v>J. C. D. S</v>
      </c>
      <c r="E19" s="39" t="str">
        <f>IFERROR(__xludf.dummyfunction("""COMPUTED_VALUE"""),"13/08/2025")</f>
        <v>13/08/2025</v>
      </c>
      <c r="F19" s="15" t="str">
        <f>IFERROR(__xludf.dummyfunction("""COMPUTED_VALUE"""),"007******82")</f>
        <v>007******82</v>
      </c>
      <c r="G19" s="15" t="str">
        <f>IFERROR(__xludf.dummyfunction("""COMPUTED_VALUE"""),"INFANTIL 1")</f>
        <v>INFANTIL 1</v>
      </c>
      <c r="H19" s="15" t="str">
        <f>IFERROR(__xludf.dummyfunction("""COMPUTED_VALUE"""),"CENTRO MUNICIPAL DE EDUCAÇÃO INFANTIL MARCOS FREIRE")</f>
        <v>CENTRO MUNICIPAL DE EDUCAÇÃO INFANTIL MARCOS FREIRE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customHeight="1" spans="1:25">
      <c r="A20" s="36" t="str">
        <f t="shared" si="2"/>
        <v>REGIONAL 4</v>
      </c>
      <c r="B20" s="37" t="str">
        <f>IFERROR(__xludf.dummyfunction("""COMPUTED_VALUE"""),"12/03/2026 06:29:35")</f>
        <v>12/03/2026 06:29:35</v>
      </c>
      <c r="C20" s="38" t="str">
        <f>IFERROR(__xludf.dummyfunction("""COMPUTED_VALUE"""),"4")</f>
        <v>4</v>
      </c>
      <c r="D20" s="15" t="str">
        <f>IFERROR(__xludf.dummyfunction("""COMPUTED_VALUE"""),"M. I. A. D. S")</f>
        <v>M. I. A. D. S</v>
      </c>
      <c r="E20" s="39" t="str">
        <f>IFERROR(__xludf.dummyfunction("""COMPUTED_VALUE"""),"13/02/2025")</f>
        <v>13/02/2025</v>
      </c>
      <c r="F20" s="15" t="str">
        <f>IFERROR(__xludf.dummyfunction("""COMPUTED_VALUE"""),"005******24")</f>
        <v>005******24</v>
      </c>
      <c r="G20" s="15" t="str">
        <f>IFERROR(__xludf.dummyfunction("""COMPUTED_VALUE"""),"INFANTIL 1")</f>
        <v>INFANTIL 1</v>
      </c>
      <c r="H20" s="15" t="str">
        <f>IFERROR(__xludf.dummyfunction("""COMPUTED_VALUE"""),"CENTRO MUNICIPAL DE EDUCAÇÃO INFANTIL MARCOS FREIRE")</f>
        <v>CENTRO MUNICIPAL DE EDUCAÇÃO INFANTIL MARCOS FREIRE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customHeight="1" spans="1:25">
      <c r="A21" s="36" t="str">
        <f t="shared" si="2"/>
        <v>REGIONAL 4</v>
      </c>
      <c r="B21" s="37" t="str">
        <f>IFERROR(__xludf.dummyfunction("""COMPUTED_VALUE"""),"18/03/2026 11:00:34")</f>
        <v>18/03/2026 11:00:34</v>
      </c>
      <c r="C21" s="38" t="str">
        <f>IFERROR(__xludf.dummyfunction("""COMPUTED_VALUE"""),"5")</f>
        <v>5</v>
      </c>
      <c r="D21" s="15" t="str">
        <f>IFERROR(__xludf.dummyfunction("""COMPUTED_VALUE"""),"B. C. D. S. C")</f>
        <v>B. C. D. S. C</v>
      </c>
      <c r="E21" s="39" t="str">
        <f>IFERROR(__xludf.dummyfunction("""COMPUTED_VALUE"""),"28/05/2025")</f>
        <v>28/05/2025</v>
      </c>
      <c r="F21" s="15" t="str">
        <f>IFERROR(__xludf.dummyfunction("""COMPUTED_VALUE"""),"006******07")</f>
        <v>006******07</v>
      </c>
      <c r="G21" s="15" t="str">
        <f>IFERROR(__xludf.dummyfunction("""COMPUTED_VALUE"""),"INFANTIL 1")</f>
        <v>INFANTIL 1</v>
      </c>
      <c r="H21" s="15" t="str">
        <f>IFERROR(__xludf.dummyfunction("""COMPUTED_VALUE"""),"CENTRO MUNICIPAL DE EDUCAÇÃO INFANTIL MARCOS FREIRE")</f>
        <v>CENTRO MUNICIPAL DE EDUCAÇÃO INFANTIL MARCOS FREIRE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customHeight="1" spans="1:25">
      <c r="A22" s="36" t="str">
        <f t="shared" si="2"/>
        <v>REGIONAL 4</v>
      </c>
      <c r="B22" s="15" t="str">
        <f>IFERROR(__xludf.dummyfunction("""COMPUTED_VALUE"""),"23/03/2026 12:20:04")</f>
        <v>23/03/2026 12:20:04</v>
      </c>
      <c r="C22" s="38" t="str">
        <f>IFERROR(__xludf.dummyfunction("""COMPUTED_VALUE"""),"6")</f>
        <v>6</v>
      </c>
      <c r="D22" s="15" t="str">
        <f>IFERROR(__xludf.dummyfunction("""COMPUTED_VALUE"""),"D. D. S")</f>
        <v>D. D. S</v>
      </c>
      <c r="E22" s="15" t="str">
        <f>IFERROR(__xludf.dummyfunction("""COMPUTED_VALUE"""),"09/04/2024")</f>
        <v>09/04/2024</v>
      </c>
      <c r="F22" s="15" t="str">
        <f>IFERROR(__xludf.dummyfunction("""COMPUTED_VALUE"""),"002******29")</f>
        <v>002******29</v>
      </c>
      <c r="G22" s="15" t="str">
        <f>IFERROR(__xludf.dummyfunction("""COMPUTED_VALUE"""),"INFANTIL 1")</f>
        <v>INFANTIL 1</v>
      </c>
      <c r="H22" s="15" t="str">
        <f>IFERROR(__xludf.dummyfunction("""COMPUTED_VALUE"""),"CENTRO MUNICIPAL DE EDUCAÇÃO INFANTIL MARCOS FREIRE")</f>
        <v>CENTRO MUNICIPAL DE EDUCAÇÃO INFANTIL MARCOS FREIRE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customHeight="1" spans="1:25">
      <c r="A23" s="36" t="str">
        <f t="shared" si="2"/>
        <v>REGIONAL 4</v>
      </c>
      <c r="B23" s="15" t="str">
        <f>IFERROR(__xludf.dummyfunction("""COMPUTED_VALUE"""),"27/03/2026 14:19:05")</f>
        <v>27/03/2026 14:19:05</v>
      </c>
      <c r="C23" s="38" t="str">
        <f>IFERROR(__xludf.dummyfunction("""COMPUTED_VALUE"""),"7")</f>
        <v>7</v>
      </c>
      <c r="D23" s="15" t="str">
        <f>IFERROR(__xludf.dummyfunction("""COMPUTED_VALUE"""),"R. L. C. A. D. S")</f>
        <v>R. L. C. A. D. S</v>
      </c>
      <c r="E23" s="15" t="str">
        <f>IFERROR(__xludf.dummyfunction("""COMPUTED_VALUE"""),"05/12/2024")</f>
        <v>05/12/2024</v>
      </c>
      <c r="F23" s="15" t="str">
        <f>IFERROR(__xludf.dummyfunction("""COMPUTED_VALUE"""),"004******03")</f>
        <v>004******03</v>
      </c>
      <c r="G23" s="15" t="str">
        <f>IFERROR(__xludf.dummyfunction("""COMPUTED_VALUE"""),"INFANTIL 1")</f>
        <v>INFANTIL 1</v>
      </c>
      <c r="H23" s="15" t="str">
        <f>IFERROR(__xludf.dummyfunction("""COMPUTED_VALUE"""),"CENTRO MUNICIPAL DE EDUCAÇÃO INFANTIL MARCOS FREIRE")</f>
        <v>CENTRO MUNICIPAL DE EDUCAÇÃO INFANTIL MARCOS FREIRE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customHeight="1" spans="1:25">
      <c r="A24" s="36" t="str">
        <f t="shared" si="2"/>
        <v>REGIONAL 4</v>
      </c>
      <c r="B24" s="15" t="str">
        <f>IFERROR(__xludf.dummyfunction("""COMPUTED_VALUE"""),"08/04/2026 10:45:14")</f>
        <v>08/04/2026 10:45:14</v>
      </c>
      <c r="C24" s="38" t="str">
        <f>IFERROR(__xludf.dummyfunction("""COMPUTED_VALUE"""),"8")</f>
        <v>8</v>
      </c>
      <c r="D24" s="15" t="str">
        <f>IFERROR(__xludf.dummyfunction("""COMPUTED_VALUE"""),"T. S. D. L")</f>
        <v>T. S. D. L</v>
      </c>
      <c r="E24" s="15" t="str">
        <f>IFERROR(__xludf.dummyfunction("""COMPUTED_VALUE"""),"28/10/2024")</f>
        <v>28/10/2024</v>
      </c>
      <c r="F24" s="15" t="str">
        <f>IFERROR(__xludf.dummyfunction("""COMPUTED_VALUE"""),"004******67")</f>
        <v>004******67</v>
      </c>
      <c r="G24" s="15" t="str">
        <f>IFERROR(__xludf.dummyfunction("""COMPUTED_VALUE"""),"INFANTIL 1")</f>
        <v>INFANTIL 1</v>
      </c>
      <c r="H24" s="15" t="str">
        <f>IFERROR(__xludf.dummyfunction("""COMPUTED_VALUE"""),"CENTRO MUNICIPAL DE EDUCAÇÃO INFANTIL MARCOS FREIRE")</f>
        <v>CENTRO MUNICIPAL DE EDUCAÇÃO INFANTIL MARCOS FREIRE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customHeight="1" spans="1:25">
      <c r="A25" s="36" t="str">
        <f t="shared" si="2"/>
        <v>REGIONAL 4</v>
      </c>
      <c r="B25" s="15" t="str">
        <f>IFERROR(__xludf.dummyfunction("""COMPUTED_VALUE"""),"14/04/2026 09:51:21")</f>
        <v>14/04/2026 09:51:21</v>
      </c>
      <c r="C25" s="38" t="str">
        <f>IFERROR(__xludf.dummyfunction("""COMPUTED_VALUE"""),"9")</f>
        <v>9</v>
      </c>
      <c r="D25" s="15" t="str">
        <f>IFERROR(__xludf.dummyfunction("""COMPUTED_VALUE"""),"M. G. P. D. L")</f>
        <v>M. G. P. D. L</v>
      </c>
      <c r="E25" s="15" t="str">
        <f>IFERROR(__xludf.dummyfunction("""COMPUTED_VALUE"""),"25/08/2025")</f>
        <v>25/08/2025</v>
      </c>
      <c r="F25" s="15" t="str">
        <f>IFERROR(__xludf.dummyfunction("""COMPUTED_VALUE"""),"014******83")</f>
        <v>014******83</v>
      </c>
      <c r="G25" s="15" t="str">
        <f>IFERROR(__xludf.dummyfunction("""COMPUTED_VALUE"""),"INFANTIL 1")</f>
        <v>INFANTIL 1</v>
      </c>
      <c r="H25" s="15" t="str">
        <f>IFERROR(__xludf.dummyfunction("""COMPUTED_VALUE"""),"CENTRO MUNICIPAL DE EDUCAÇÃO INFANTIL MARCOS FREIRE")</f>
        <v>CENTRO MUNICIPAL DE EDUCAÇÃO INFANTIL MARCOS FREIRE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customHeight="1" spans="1:25">
      <c r="A26" s="36" t="str">
        <f t="shared" si="2"/>
        <v>REGIONAL 4</v>
      </c>
      <c r="B26" s="15" t="str">
        <f>IFERROR(__xludf.dummyfunction("""COMPUTED_VALUE"""),"15/04/2026 16:58:08")</f>
        <v>15/04/2026 16:58:08</v>
      </c>
      <c r="C26" s="38" t="str">
        <f>IFERROR(__xludf.dummyfunction("""COMPUTED_VALUE"""),"10")</f>
        <v>10</v>
      </c>
      <c r="D26" s="15" t="str">
        <f>IFERROR(__xludf.dummyfunction("""COMPUTED_VALUE"""),"E. M. D. S")</f>
        <v>E. M. D. S</v>
      </c>
      <c r="E26" s="15" t="str">
        <f>IFERROR(__xludf.dummyfunction("""COMPUTED_VALUE"""),"12/02/2025")</f>
        <v>12/02/2025</v>
      </c>
      <c r="F26" s="15" t="str">
        <f>IFERROR(__xludf.dummyfunction("""COMPUTED_VALUE"""),"050******00")</f>
        <v>050******00</v>
      </c>
      <c r="G26" s="15" t="str">
        <f>IFERROR(__xludf.dummyfunction("""COMPUTED_VALUE"""),"INFANTIL 1")</f>
        <v>INFANTIL 1</v>
      </c>
      <c r="H26" s="15" t="str">
        <f>IFERROR(__xludf.dummyfunction("""COMPUTED_VALUE"""),"CENTRO MUNICIPAL DE EDUCAÇÃO INFANTIL MARCOS FREIRE")</f>
        <v>CENTRO MUNICIPAL DE EDUCAÇÃO INFANTIL MARCOS FREIRE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customHeight="1" spans="1:25">
      <c r="A27" s="36" t="str">
        <f t="shared" si="2"/>
        <v>REGIONAL 4</v>
      </c>
      <c r="B27" s="15" t="str">
        <f>IFERROR(__xludf.dummyfunction("""COMPUTED_VALUE"""),"11/05/2026 14:39:32")</f>
        <v>11/05/2026 14:39:32</v>
      </c>
      <c r="C27" s="38" t="str">
        <f>IFERROR(__xludf.dummyfunction("""COMPUTED_VALUE"""),"11")</f>
        <v>11</v>
      </c>
      <c r="D27" s="15" t="str">
        <f>IFERROR(__xludf.dummyfunction("""COMPUTED_VALUE"""),"J. H. P. D. A")</f>
        <v>J. H. P. D. A</v>
      </c>
      <c r="E27" s="15" t="str">
        <f>IFERROR(__xludf.dummyfunction("""COMPUTED_VALUE"""),"11/07/2024")</f>
        <v>11/07/2024</v>
      </c>
      <c r="F27" s="15" t="str">
        <f>IFERROR(__xludf.dummyfunction("""COMPUTED_VALUE"""),"003******28")</f>
        <v>003******28</v>
      </c>
      <c r="G27" s="15" t="str">
        <f>IFERROR(__xludf.dummyfunction("""COMPUTED_VALUE"""),"INFANTIL 1")</f>
        <v>INFANTIL 1</v>
      </c>
      <c r="H27" s="15" t="str">
        <f>IFERROR(__xludf.dummyfunction("""COMPUTED_VALUE"""),"CENTRO MUNICIPAL DE EDUCAÇÃO INFANTIL MARCOS FREIRE")</f>
        <v>CENTRO MUNICIPAL DE EDUCAÇÃO INFANTIL MARCOS FREIRE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customHeight="1" spans="1:25">
      <c r="A28" s="36" t="str">
        <f t="shared" si="2"/>
        <v>REGIONAL 4</v>
      </c>
      <c r="B28" s="15" t="str">
        <f>IFERROR(__xludf.dummyfunction("""COMPUTED_VALUE"""),"26/05/2026 13:30:04")</f>
        <v>26/05/2026 13:30:04</v>
      </c>
      <c r="C28" s="38" t="str">
        <f>IFERROR(__xludf.dummyfunction("""COMPUTED_VALUE"""),"12")</f>
        <v>12</v>
      </c>
      <c r="D28" s="15" t="str">
        <f>IFERROR(__xludf.dummyfunction("""COMPUTED_VALUE"""),"M. V. D. S. F")</f>
        <v>M. V. D. S. F</v>
      </c>
      <c r="E28" s="15" t="str">
        <f>IFERROR(__xludf.dummyfunction("""COMPUTED_VALUE"""),"14/05/2025")</f>
        <v>14/05/2025</v>
      </c>
      <c r="F28" s="15" t="str">
        <f>IFERROR(__xludf.dummyfunction("""COMPUTED_VALUE"""),"006******85")</f>
        <v>006******85</v>
      </c>
      <c r="G28" s="15" t="str">
        <f>IFERROR(__xludf.dummyfunction("""COMPUTED_VALUE"""),"INFANTIL 1")</f>
        <v>INFANTIL 1</v>
      </c>
      <c r="H28" s="15" t="str">
        <f>IFERROR(__xludf.dummyfunction("""COMPUTED_VALUE"""),"CENTRO MUNICIPAL DE EDUCAÇÃO INFANTIL MARCOS FREIRE")</f>
        <v>CENTRO MUNICIPAL DE EDUCAÇÃO INFANTIL MARCOS FREIRE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customHeight="1" spans="1:25">
      <c r="A29" s="36" t="str">
        <f t="shared" si="2"/>
        <v>REGIONAL 4</v>
      </c>
      <c r="B29" s="15" t="str">
        <f>IFERROR(__xludf.dummyfunction("""COMPUTED_VALUE"""),"03/06/2026 08:39:17")</f>
        <v>03/06/2026 08:39:17</v>
      </c>
      <c r="C29" s="38" t="str">
        <f>IFERROR(__xludf.dummyfunction("""COMPUTED_VALUE"""),"13")</f>
        <v>13</v>
      </c>
      <c r="D29" s="15" t="str">
        <f>IFERROR(__xludf.dummyfunction("""COMPUTED_VALUE"""),"B. G. C. D. L")</f>
        <v>B. G. C. D. L</v>
      </c>
      <c r="E29" s="15" t="str">
        <f>IFERROR(__xludf.dummyfunction("""COMPUTED_VALUE"""),"21/07/2024")</f>
        <v>21/07/2024</v>
      </c>
      <c r="F29" s="15" t="str">
        <f>IFERROR(__xludf.dummyfunction("""COMPUTED_VALUE"""),"003******63")</f>
        <v>003******63</v>
      </c>
      <c r="G29" s="15" t="str">
        <f>IFERROR(__xludf.dummyfunction("""COMPUTED_VALUE"""),"INFANTIL 1")</f>
        <v>INFANTIL 1</v>
      </c>
      <c r="H29" s="15" t="str">
        <f>IFERROR(__xludf.dummyfunction("""COMPUTED_VALUE"""),"CENTRO MUNICIPAL DE EDUCAÇÃO INFANTIL MARCOS FREIRE")</f>
        <v>CENTRO MUNICIPAL DE EDUCAÇÃO INFANTIL MARCOS FREIRE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customHeight="1" spans="1:25">
      <c r="A30" s="36" t="str">
        <f t="shared" si="2"/>
        <v>REGIONAL 4</v>
      </c>
      <c r="B30" s="15" t="str">
        <f>IFERROR(__xludf.dummyfunction("""COMPUTED_VALUE"""),"13/06/2026 12:51:02")</f>
        <v>13/06/2026 12:51:02</v>
      </c>
      <c r="C30" s="38" t="str">
        <f>IFERROR(__xludf.dummyfunction("""COMPUTED_VALUE"""),"14")</f>
        <v>14</v>
      </c>
      <c r="D30" s="15" t="str">
        <f>IFERROR(__xludf.dummyfunction("""COMPUTED_VALUE"""),"L. H. d. L. F")</f>
        <v>L. H. d. L. F</v>
      </c>
      <c r="E30" s="15" t="str">
        <f>IFERROR(__xludf.dummyfunction("""COMPUTED_VALUE"""),"29/05/2025")</f>
        <v>29/05/2025</v>
      </c>
      <c r="F30" s="15" t="str">
        <f>IFERROR(__xludf.dummyfunction("""COMPUTED_VALUE"""),"006******54")</f>
        <v>006******54</v>
      </c>
      <c r="G30" s="15" t="str">
        <f>IFERROR(__xludf.dummyfunction("""COMPUTED_VALUE"""),"INFANTIL 1")</f>
        <v>INFANTIL 1</v>
      </c>
      <c r="H30" s="15" t="str">
        <f>IFERROR(__xludf.dummyfunction("""COMPUTED_VALUE"""),"CENTRO MUNICIPAL DE EDUCAÇÃO INFANTIL MARCOS FREIRE")</f>
        <v>CENTRO MUNICIPAL DE EDUCAÇÃO INFANTIL MARCOS FREIRE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customHeight="1" spans="1:25">
      <c r="A31" s="36" t="str">
        <f t="shared" si="2"/>
        <v>REGIONAL 4</v>
      </c>
      <c r="B31" s="15" t="str">
        <f>IFERROR(__xludf.dummyfunction("""COMPUTED_VALUE"""),"01/07/2026 15:14:07")</f>
        <v>01/07/2026 15:14:07</v>
      </c>
      <c r="C31" s="38" t="str">
        <f>IFERROR(__xludf.dummyfunction("""COMPUTED_VALUE"""),"15")</f>
        <v>15</v>
      </c>
      <c r="D31" s="15" t="str">
        <f>IFERROR(__xludf.dummyfunction("""COMPUTED_VALUE"""),"M. D. S. D. S")</f>
        <v>M. D. S. D. S</v>
      </c>
      <c r="E31" s="15" t="str">
        <f>IFERROR(__xludf.dummyfunction("""COMPUTED_VALUE"""),"12/01/2025")</f>
        <v>12/01/2025</v>
      </c>
      <c r="F31" s="15" t="str">
        <f>IFERROR(__xludf.dummyfunction("""COMPUTED_VALUE"""),"124******05")</f>
        <v>124******05</v>
      </c>
      <c r="G31" s="15" t="str">
        <f>IFERROR(__xludf.dummyfunction("""COMPUTED_VALUE"""),"INFANTIL 1")</f>
        <v>INFANTIL 1</v>
      </c>
      <c r="H31" s="15" t="str">
        <f>IFERROR(__xludf.dummyfunction("""COMPUTED_VALUE"""),"CENTRO MUNICIPAL DE EDUCAÇÃO INFANTIL MARCOS FREIRE")</f>
        <v>CENTRO MUNICIPAL DE EDUCAÇÃO INFANTIL MARCOS FREIRE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customHeight="1" spans="1:25">
      <c r="A32" s="36" t="str">
        <f t="shared" si="2"/>
        <v>REGIONAL 4</v>
      </c>
      <c r="B32" s="15" t="str">
        <f>IFERROR(__xludf.dummyfunction("""COMPUTED_VALUE"""),"03/07/2026 16:18:13")</f>
        <v>03/07/2026 16:18:13</v>
      </c>
      <c r="C32" s="38" t="str">
        <f>IFERROR(__xludf.dummyfunction("""COMPUTED_VALUE"""),"16")</f>
        <v>16</v>
      </c>
      <c r="D32" s="15" t="str">
        <f>IFERROR(__xludf.dummyfunction("""COMPUTED_VALUE"""),"R. A. C. L")</f>
        <v>R. A. C. L</v>
      </c>
      <c r="E32" s="15" t="str">
        <f>IFERROR(__xludf.dummyfunction("""COMPUTED_VALUE"""),"26/07/2024")</f>
        <v>26/07/2024</v>
      </c>
      <c r="F32" s="15" t="str">
        <f>IFERROR(__xludf.dummyfunction("""COMPUTED_VALUE"""),"003******04")</f>
        <v>003******04</v>
      </c>
      <c r="G32" s="15" t="str">
        <f>IFERROR(__xludf.dummyfunction("""COMPUTED_VALUE"""),"INFANTIL 1")</f>
        <v>INFANTIL 1</v>
      </c>
      <c r="H32" s="15" t="str">
        <f>IFERROR(__xludf.dummyfunction("""COMPUTED_VALUE"""),"CENTRO MUNICIPAL DE EDUCAÇÃO INFANTIL MARCOS FREIRE")</f>
        <v>CENTRO MUNICIPAL DE EDUCAÇÃO INFANTIL MARCOS FREIRE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customHeight="1" spans="1:25">
      <c r="A33" s="36" t="str">
        <f t="shared" si="2"/>
        <v>REGIONAL 4</v>
      </c>
      <c r="B33" s="15" t="str">
        <f>IFERROR(__xludf.dummyfunction("""COMPUTED_VALUE"""),"28/07/2026 10:16:21")</f>
        <v>28/07/2026 10:16:21</v>
      </c>
      <c r="C33" s="38" t="str">
        <f>IFERROR(__xludf.dummyfunction("""COMPUTED_VALUE"""),"17")</f>
        <v>17</v>
      </c>
      <c r="D33" s="15" t="str">
        <f>IFERROR(__xludf.dummyfunction("""COMPUTED_VALUE"""),"a. t. d. o")</f>
        <v>a. t. d. o</v>
      </c>
      <c r="E33" s="15" t="str">
        <f>IFERROR(__xludf.dummyfunction("""COMPUTED_VALUE"""),"25/04/2024")</f>
        <v>25/04/2024</v>
      </c>
      <c r="F33" s="15" t="str">
        <f>IFERROR(__xludf.dummyfunction("""COMPUTED_VALUE"""),"002******03")</f>
        <v>002******03</v>
      </c>
      <c r="G33" s="15" t="str">
        <f>IFERROR(__xludf.dummyfunction("""COMPUTED_VALUE"""),"INFANTIL 1")</f>
        <v>INFANTIL 1</v>
      </c>
      <c r="H33" s="15" t="str">
        <f>IFERROR(__xludf.dummyfunction("""COMPUTED_VALUE"""),"CENTRO MUNICIPAL DE EDUCAÇÃO INFANTIL MARCOS FREIRE")</f>
        <v>CENTRO MUNICIPAL DE EDUCAÇÃO INFANTIL MARCOS FREIRE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customHeight="1" spans="1:25">
      <c r="A34" s="36" t="str">
        <f t="shared" si="2"/>
        <v>REGIONAL 4</v>
      </c>
      <c r="B34" s="15" t="str">
        <f>IFERROR(__xludf.dummyfunction("""COMPUTED_VALUE"""),"06/08/2026 14:52:11")</f>
        <v>06/08/2026 14:52:11</v>
      </c>
      <c r="C34" s="38" t="str">
        <f>IFERROR(__xludf.dummyfunction("""COMPUTED_VALUE"""),"18")</f>
        <v>18</v>
      </c>
      <c r="D34" s="15" t="str">
        <f>IFERROR(__xludf.dummyfunction("""COMPUTED_VALUE"""),"G. A. D. M")</f>
        <v>G. A. D. M</v>
      </c>
      <c r="E34" s="15" t="str">
        <f>IFERROR(__xludf.dummyfunction("""COMPUTED_VALUE"""),"20/01/2025")</f>
        <v>20/01/2025</v>
      </c>
      <c r="F34" s="15" t="str">
        <f>IFERROR(__xludf.dummyfunction("""COMPUTED_VALUE"""),"005******00")</f>
        <v>005******00</v>
      </c>
      <c r="G34" s="15" t="str">
        <f>IFERROR(__xludf.dummyfunction("""COMPUTED_VALUE"""),"INFANTIL 1")</f>
        <v>INFANTIL 1</v>
      </c>
      <c r="H34" s="15" t="str">
        <f>IFERROR(__xludf.dummyfunction("""COMPUTED_VALUE"""),"CENTRO MUNICIPAL DE EDUCAÇÃO INFANTIL MARCOS FREIRE")</f>
        <v>CENTRO MUNICIPAL DE EDUCAÇÃO INFANTIL MARCOS FREIRE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customHeight="1" spans="1:25">
      <c r="A35" s="36" t="str">
        <f t="shared" si="2"/>
        <v>REGIONAL 4</v>
      </c>
      <c r="B35" s="15" t="str">
        <f>IFERROR(__xludf.dummyfunction("""COMPUTED_VALUE"""),"06/08/2026 16:03:25")</f>
        <v>06/08/2026 16:03:25</v>
      </c>
      <c r="C35" s="38" t="str">
        <f>IFERROR(__xludf.dummyfunction("""COMPUTED_VALUE"""),"19")</f>
        <v>19</v>
      </c>
      <c r="D35" s="15" t="str">
        <f>IFERROR(__xludf.dummyfunction("""COMPUTED_VALUE"""),"M. G. D. S. S")</f>
        <v>M. G. D. S. S</v>
      </c>
      <c r="E35" s="15" t="str">
        <f>IFERROR(__xludf.dummyfunction("""COMPUTED_VALUE"""),"07/08/2025")</f>
        <v>07/08/2025</v>
      </c>
      <c r="F35" s="15" t="str">
        <f>IFERROR(__xludf.dummyfunction("""COMPUTED_VALUE"""),"006******30")</f>
        <v>006******30</v>
      </c>
      <c r="G35" s="15" t="str">
        <f>IFERROR(__xludf.dummyfunction("""COMPUTED_VALUE"""),"INFANTIL 1")</f>
        <v>INFANTIL 1</v>
      </c>
      <c r="H35" s="15" t="str">
        <f>IFERROR(__xludf.dummyfunction("""COMPUTED_VALUE"""),"CENTRO MUNICIPAL DE EDUCAÇÃO INFANTIL MARCOS FREIRE")</f>
        <v>CENTRO MUNICIPAL DE EDUCAÇÃO INFANTIL MARCOS FREIRE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customHeight="1" spans="1:25">
      <c r="A36" s="36" t="str">
        <f t="shared" si="2"/>
        <v>REGIONAL 4</v>
      </c>
      <c r="B36" s="15" t="str">
        <f>IFERROR(__xludf.dummyfunction("""COMPUTED_VALUE"""),"04/09/2026 12:15:39")</f>
        <v>04/09/2026 12:15:39</v>
      </c>
      <c r="C36" s="38" t="str">
        <f>IFERROR(__xludf.dummyfunction("""COMPUTED_VALUE"""),"20")</f>
        <v>20</v>
      </c>
      <c r="D36" s="15" t="str">
        <f>IFERROR(__xludf.dummyfunction("""COMPUTED_VALUE"""),"t. d. d. s")</f>
        <v>t. d. d. s</v>
      </c>
      <c r="E36" s="15" t="str">
        <f>IFERROR(__xludf.dummyfunction("""COMPUTED_VALUE"""),"11/03/2025")</f>
        <v>11/03/2025</v>
      </c>
      <c r="F36" s="15" t="str">
        <f>IFERROR(__xludf.dummyfunction("""COMPUTED_VALUE"""),"005******96")</f>
        <v>005******96</v>
      </c>
      <c r="G36" s="15" t="str">
        <f>IFERROR(__xludf.dummyfunction("""COMPUTED_VALUE"""),"INFANTIL 1")</f>
        <v>INFANTIL 1</v>
      </c>
      <c r="H36" s="15" t="str">
        <f>IFERROR(__xludf.dummyfunction("""COMPUTED_VALUE"""),"CENTRO MUNICIPAL DE EDUCAÇÃO INFANTIL MARCOS FREIRE")</f>
        <v>CENTRO MUNICIPAL DE EDUCAÇÃO INFANTIL MARCOS FREIRE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customHeight="1" spans="1:25">
      <c r="A37" s="36" t="str">
        <f t="shared" si="2"/>
        <v>REGIONAL 4</v>
      </c>
      <c r="B37" s="15" t="str">
        <f>IFERROR(__xludf.dummyfunction("""COMPUTED_VALUE"""),"10/09/2026 17:24:43")</f>
        <v>10/09/2026 17:24:43</v>
      </c>
      <c r="C37" s="38" t="str">
        <f>IFERROR(__xludf.dummyfunction("""COMPUTED_VALUE"""),"21")</f>
        <v>21</v>
      </c>
      <c r="D37" s="15" t="str">
        <f>IFERROR(__xludf.dummyfunction("""COMPUTED_VALUE"""),"W. M. d. S")</f>
        <v>W. M. d. S</v>
      </c>
      <c r="E37" s="15" t="str">
        <f>IFERROR(__xludf.dummyfunction("""COMPUTED_VALUE"""),"18/06/2026")</f>
        <v>18/06/2026</v>
      </c>
      <c r="F37" s="15" t="str">
        <f>IFERROR(__xludf.dummyfunction("""COMPUTED_VALUE"""),"114******20")</f>
        <v>114******20</v>
      </c>
      <c r="G37" s="15" t="str">
        <f>IFERROR(__xludf.dummyfunction("""COMPUTED_VALUE"""),"INFANTIL 1")</f>
        <v>INFANTIL 1</v>
      </c>
      <c r="H37" s="15" t="str">
        <f>IFERROR(__xludf.dummyfunction("""COMPUTED_VALUE"""),"CENTRO MUNICIPAL DE EDUCAÇÃO INFANTIL MARCOS FREIRE")</f>
        <v>CENTRO MUNICIPAL DE EDUCAÇÃO INFANTIL MARCOS FREIRE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customHeight="1" spans="1:25">
      <c r="A38" s="36" t="str">
        <f t="shared" si="2"/>
        <v>REGIONAL 4</v>
      </c>
      <c r="B38" s="15" t="str">
        <f>IFERROR(__xludf.dummyfunction("""COMPUTED_VALUE"""),"04/03/2026 14:46:15")</f>
        <v>04/03/2026 14:46:15</v>
      </c>
      <c r="C38" s="38" t="str">
        <f>IFERROR(__xludf.dummyfunction("""COMPUTED_VALUE"""),"1")</f>
        <v>1</v>
      </c>
      <c r="D38" s="15" t="str">
        <f>IFERROR(__xludf.dummyfunction("""COMPUTED_VALUE"""),"J. M. D. L. C")</f>
        <v>J. M. D. L. C</v>
      </c>
      <c r="E38" s="15" t="str">
        <f>IFERROR(__xludf.dummyfunction("""COMPUTED_VALUE"""),"22/07/2023")</f>
        <v>22/07/2023</v>
      </c>
      <c r="F38" s="15" t="str">
        <f>IFERROR(__xludf.dummyfunction("""COMPUTED_VALUE"""),"234******62")</f>
        <v>234******62</v>
      </c>
      <c r="G38" s="15" t="str">
        <f>IFERROR(__xludf.dummyfunction("""COMPUTED_VALUE"""),"INFANTIL 2")</f>
        <v>INFANTIL 2</v>
      </c>
      <c r="H38" s="15" t="str">
        <f>IFERROR(__xludf.dummyfunction("""COMPUTED_VALUE"""),"CENTRO MUNICIPAL DE EDUCAÇÃO INFANTIL MARCOS FREIRE")</f>
        <v>CENTRO MUNICIPAL DE EDUCAÇÃO INFANTIL MARCOS FREIRE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customHeight="1" spans="1:25">
      <c r="A39" s="36" t="str">
        <f t="shared" si="2"/>
        <v>REGIONAL 4</v>
      </c>
      <c r="B39" s="15" t="str">
        <f>IFERROR(__xludf.dummyfunction("""COMPUTED_VALUE"""),"20/03/2026 08:02:42")</f>
        <v>20/03/2026 08:02:42</v>
      </c>
      <c r="C39" s="38" t="str">
        <f>IFERROR(__xludf.dummyfunction("""COMPUTED_VALUE"""),"2")</f>
        <v>2</v>
      </c>
      <c r="D39" s="15" t="str">
        <f>IFERROR(__xludf.dummyfunction("""COMPUTED_VALUE"""),"D. P. D. S. B")</f>
        <v>D. P. D. S. B</v>
      </c>
      <c r="E39" s="15" t="str">
        <f>IFERROR(__xludf.dummyfunction("""COMPUTED_VALUE"""),"17/01/2024")</f>
        <v>17/01/2024</v>
      </c>
      <c r="F39" s="15" t="str">
        <f>IFERROR(__xludf.dummyfunction("""COMPUTED_VALUE"""),"001******32")</f>
        <v>001******32</v>
      </c>
      <c r="G39" s="15" t="str">
        <f>IFERROR(__xludf.dummyfunction("""COMPUTED_VALUE"""),"INFANTIL 2")</f>
        <v>INFANTIL 2</v>
      </c>
      <c r="H39" s="15" t="str">
        <f>IFERROR(__xludf.dummyfunction("""COMPUTED_VALUE"""),"CENTRO MUNICIPAL DE EDUCAÇÃO INFANTIL MARCOS FREIRE")</f>
        <v>CENTRO MUNICIPAL DE EDUCAÇÃO INFANTIL MARCOS FREIRE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customHeight="1" spans="1:25">
      <c r="A40" s="36" t="str">
        <f>IF(B47&lt;&gt;"","REGIONAL 4","")</f>
        <v/>
      </c>
      <c r="B40" s="15" t="str">
        <f>IFERROR(__xludf.dummyfunction("""COMPUTED_VALUE"""),"20/03/2026 23:02:44")</f>
        <v>20/03/2026 23:02:44</v>
      </c>
      <c r="C40" s="38" t="str">
        <f>IFERROR(__xludf.dummyfunction("""COMPUTED_VALUE"""),"3")</f>
        <v>3</v>
      </c>
      <c r="D40" s="15" t="str">
        <f>IFERROR(__xludf.dummyfunction("""COMPUTED_VALUE"""),"L. B. D. O. R")</f>
        <v>L. B. D. O. R</v>
      </c>
      <c r="E40" s="15" t="str">
        <f>IFERROR(__xludf.dummyfunction("""COMPUTED_VALUE"""),"22/02/2024")</f>
        <v>22/02/2024</v>
      </c>
      <c r="F40" s="15" t="str">
        <f>IFERROR(__xludf.dummyfunction("""COMPUTED_VALUE"""),"002******40")</f>
        <v>002******40</v>
      </c>
      <c r="G40" s="15" t="str">
        <f>IFERROR(__xludf.dummyfunction("""COMPUTED_VALUE"""),"INFANTIL 2")</f>
        <v>INFANTIL 2</v>
      </c>
      <c r="H40" s="15" t="str">
        <f>IFERROR(__xludf.dummyfunction("""COMPUTED_VALUE"""),"CENTRO MUNICIPAL DE EDUCAÇÃO INFANTIL MARCOS FREIRE")</f>
        <v>CENTRO MUNICIPAL DE EDUCAÇÃO INFANTIL MARCOS FREIRE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customHeight="1" spans="1:25">
      <c r="A41" s="36" t="str">
        <f>IF(B48&lt;&gt;"","REGIONAL 4","")</f>
        <v/>
      </c>
      <c r="B41" s="15" t="str">
        <f>IFERROR(__xludf.dummyfunction("""COMPUTED_VALUE"""),"08/04/2026 13:49:21")</f>
        <v>08/04/2026 13:49:21</v>
      </c>
      <c r="C41" s="38" t="str">
        <f>IFERROR(__xludf.dummyfunction("""COMPUTED_VALUE"""),"4")</f>
        <v>4</v>
      </c>
      <c r="D41" s="15" t="str">
        <f>IFERROR(__xludf.dummyfunction("""COMPUTED_VALUE"""),"J. M. D. S. N")</f>
        <v>J. M. D. S. N</v>
      </c>
      <c r="E41" s="15" t="str">
        <f>IFERROR(__xludf.dummyfunction("""COMPUTED_VALUE"""),"23/07/2023")</f>
        <v>23/07/2023</v>
      </c>
      <c r="F41" s="15" t="str">
        <f>IFERROR(__xludf.dummyfunction("""COMPUTED_VALUE"""),"186******21")</f>
        <v>186******21</v>
      </c>
      <c r="G41" s="15" t="str">
        <f>IFERROR(__xludf.dummyfunction("""COMPUTED_VALUE"""),"INFANTIL 2")</f>
        <v>INFANTIL 2</v>
      </c>
      <c r="H41" s="15" t="str">
        <f>IFERROR(__xludf.dummyfunction("""COMPUTED_VALUE"""),"CENTRO MUNICIPAL DE EDUCAÇÃO INFANTIL MARCOS FREIRE")</f>
        <v>CENTRO MUNICIPAL DE EDUCAÇÃO INFANTIL MARCOS FREIRE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customHeight="1" spans="1:25">
      <c r="A42" s="36" t="str">
        <f>IF(B49&lt;&gt;"","REGIONAL 4","")</f>
        <v/>
      </c>
      <c r="B42" s="15" t="str">
        <f>IFERROR(__xludf.dummyfunction("""COMPUTED_VALUE"""),"21/07/2026 12:18:22")</f>
        <v>21/07/2026 12:18:22</v>
      </c>
      <c r="C42" s="38" t="str">
        <f>IFERROR(__xludf.dummyfunction("""COMPUTED_VALUE"""),"5")</f>
        <v>5</v>
      </c>
      <c r="D42" s="15" t="str">
        <f>IFERROR(__xludf.dummyfunction("""COMPUTED_VALUE"""),"L. D. L. B")</f>
        <v>L. D. L. B</v>
      </c>
      <c r="E42" s="15" t="str">
        <f>IFERROR(__xludf.dummyfunction("""COMPUTED_VALUE"""),"15/12/2023")</f>
        <v>15/12/2023</v>
      </c>
      <c r="F42" s="15" t="str">
        <f>IFERROR(__xludf.dummyfunction("""COMPUTED_VALUE"""),"001******16")</f>
        <v>001******16</v>
      </c>
      <c r="G42" s="15" t="str">
        <f>IFERROR(__xludf.dummyfunction("""COMPUTED_VALUE"""),"INFANTIL 2")</f>
        <v>INFANTIL 2</v>
      </c>
      <c r="H42" s="15" t="str">
        <f>IFERROR(__xludf.dummyfunction("""COMPUTED_VALUE"""),"CENTRO MUNICIPAL DE EDUCAÇÃO INFANTIL MARCOS FREIRE")</f>
        <v>CENTRO MUNICIPAL DE EDUCAÇÃO INFANTIL MARCOS FREIRE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customHeight="1" spans="1:25">
      <c r="A43" s="36" t="str">
        <f>IF(B50&lt;&gt;"","REGIONAL 4","")</f>
        <v/>
      </c>
      <c r="B43" s="15" t="str">
        <f>IFERROR(__xludf.dummyfunction("""COMPUTED_VALUE"""),"05/08/2026 08:49:31")</f>
        <v>05/08/2026 08:49:31</v>
      </c>
      <c r="C43" s="38" t="str">
        <f>IFERROR(__xludf.dummyfunction("""COMPUTED_VALUE"""),"6")</f>
        <v>6</v>
      </c>
      <c r="D43" s="15" t="str">
        <f>IFERROR(__xludf.dummyfunction("""COMPUTED_VALUE"""),"d. a. p. d. s")</f>
        <v>d. a. p. d. s</v>
      </c>
      <c r="E43" s="15" t="str">
        <f>IFERROR(__xludf.dummyfunction("""COMPUTED_VALUE"""),"19/01/2024")</f>
        <v>19/01/2024</v>
      </c>
      <c r="F43" s="15" t="str">
        <f>IFERROR(__xludf.dummyfunction("""COMPUTED_VALUE"""),"001******07")</f>
        <v>001******07</v>
      </c>
      <c r="G43" s="15" t="str">
        <f>IFERROR(__xludf.dummyfunction("""COMPUTED_VALUE"""),"INFANTIL 2")</f>
        <v>INFANTIL 2</v>
      </c>
      <c r="H43" s="15" t="str">
        <f>IFERROR(__xludf.dummyfunction("""COMPUTED_VALUE"""),"CENTRO MUNICIPAL DE EDUCAÇÃO INFANTIL MARCOS FREIRE")</f>
        <v>CENTRO MUNICIPAL DE EDUCAÇÃO INFANTIL MARCOS FREIRE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customHeight="1" spans="1:25">
      <c r="A44" s="36" t="str">
        <f>IF(B51&lt;&gt;"","REGIONAL 4","")</f>
        <v/>
      </c>
      <c r="B44" s="15" t="str">
        <f>IFERROR(__xludf.dummyfunction("""COMPUTED_VALUE"""),"05/08/2026 15:34:59")</f>
        <v>05/08/2026 15:34:59</v>
      </c>
      <c r="C44" s="38" t="str">
        <f>IFERROR(__xludf.dummyfunction("""COMPUTED_VALUE"""),"1")</f>
        <v>1</v>
      </c>
      <c r="D44" s="15" t="str">
        <f>IFERROR(__xludf.dummyfunction("""COMPUTED_VALUE"""),"M. C. S. D. S")</f>
        <v>M. C. S. D. S</v>
      </c>
      <c r="E44" s="15" t="str">
        <f>IFERROR(__xludf.dummyfunction("""COMPUTED_VALUE"""),"09/02/2023")</f>
        <v>09/02/2023</v>
      </c>
      <c r="F44" s="15" t="str">
        <f>IFERROR(__xludf.dummyfunction("""COMPUTED_VALUE"""),"185******80")</f>
        <v>185******80</v>
      </c>
      <c r="G44" s="15" t="str">
        <f>IFERROR(__xludf.dummyfunction("""COMPUTED_VALUE"""),"INFANTIL 3")</f>
        <v>INFANTIL 3</v>
      </c>
      <c r="H44" s="15" t="str">
        <f>IFERROR(__xludf.dummyfunction("""COMPUTED_VALUE"""),"CENTRO MUNICIPAL DE EDUCAÇÃO INFANTIL MARCOS FREIRE")</f>
        <v>CENTRO MUNICIPAL DE EDUCAÇÃO INFANTIL MARCOS FREIRE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</sheetData>
  <mergeCells count="14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D4:D7"/>
    <mergeCell ref="Q5:Q6"/>
    <mergeCell ref="B4:C7"/>
    <mergeCell ref="B8:C10"/>
    <mergeCell ref="B11:C13"/>
  </mergeCells>
  <conditionalFormatting sqref="E8:N13">
    <cfRule type="expression" dxfId="0" priority="2">
      <formula>LEN(TRIM(E8))=0</formula>
    </cfRule>
  </conditionalFormatting>
  <printOptions horizontalCentered="1" gridLines="1"/>
  <pageMargins left="0.7" right="0.7" top="0.75" bottom="0.75" header="0.511811023622047" footer="0.511811023622047"/>
  <pageSetup paperSize="9" fitToHeight="0" pageOrder="overThenDown" orientation="landscape" horizontalDpi="300" verticalDpi="300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Y1139"/>
  <sheetViews>
    <sheetView workbookViewId="0">
      <selection activeCell="N23" sqref="N23"/>
    </sheetView>
  </sheetViews>
  <sheetFormatPr defaultColWidth="14.43" defaultRowHeight="15" customHeight="1"/>
  <cols>
    <col min="2" max="2" width="24.43" customWidth="1"/>
    <col min="3" max="3" width="9" customWidth="1"/>
    <col min="4" max="4" width="42.58" customWidth="1"/>
    <col min="5" max="5" width="16.42" customWidth="1"/>
    <col min="6" max="6" width="16" customWidth="1"/>
    <col min="7" max="7" width="13.14" customWidth="1"/>
    <col min="8" max="8" width="50.42" customWidth="1"/>
    <col min="9" max="9" width="6.43" customWidth="1"/>
    <col min="10" max="10" width="11.71" customWidth="1"/>
    <col min="11" max="11" width="6.57" customWidth="1"/>
    <col min="12" max="12" width="10.58" customWidth="1"/>
    <col min="13" max="13" width="7.14" customWidth="1"/>
    <col min="14" max="14" width="9.58" customWidth="1"/>
    <col min="15" max="15" width="4.57" customWidth="1"/>
    <col min="16" max="16" width="9.86" customWidth="1"/>
    <col min="18" max="24" width="14.43" hidden="1"/>
  </cols>
  <sheetData>
    <row r="1" ht="14.5" spans="1:25">
      <c r="A1" s="13"/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</row>
    <row r="2" customHeight="1" spans="1:25">
      <c r="A2" s="17"/>
      <c r="B2" s="18" t="s">
        <v>1358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5"/>
      <c r="S2" s="15"/>
      <c r="T2" s="15"/>
      <c r="U2" s="15"/>
      <c r="V2" s="15"/>
      <c r="W2" s="15"/>
      <c r="X2" s="15"/>
      <c r="Y2" s="16"/>
    </row>
    <row r="3" ht="14.5" spans="1:25">
      <c r="A3" s="13"/>
      <c r="B3" s="14"/>
      <c r="C3" s="14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customHeight="1" spans="1:25">
      <c r="A4" s="19"/>
      <c r="B4" s="20" t="s">
        <v>24</v>
      </c>
      <c r="C4" s="20"/>
      <c r="D4" s="21" t="s">
        <v>1330</v>
      </c>
      <c r="E4" s="21" t="s">
        <v>1331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S4" s="15"/>
      <c r="T4" s="15"/>
      <c r="U4" s="15"/>
      <c r="V4" s="15"/>
      <c r="W4" s="15"/>
      <c r="X4" s="15"/>
      <c r="Y4" s="16"/>
    </row>
    <row r="5" customHeight="1" spans="1:25">
      <c r="A5" s="19"/>
      <c r="B5" s="20"/>
      <c r="C5" s="20"/>
      <c r="D5" s="21"/>
      <c r="E5" s="21" t="s">
        <v>1332</v>
      </c>
      <c r="F5" s="21"/>
      <c r="G5" s="21"/>
      <c r="H5" s="21"/>
      <c r="I5" s="21" t="s">
        <v>1333</v>
      </c>
      <c r="J5" s="21"/>
      <c r="K5" s="21" t="s">
        <v>1334</v>
      </c>
      <c r="L5" s="21"/>
      <c r="M5" s="21"/>
      <c r="N5" s="21"/>
      <c r="O5" s="21"/>
      <c r="P5" s="21"/>
      <c r="Q5" s="22" t="s">
        <v>1335</v>
      </c>
      <c r="R5" s="15"/>
      <c r="S5" s="15"/>
      <c r="T5" s="15"/>
      <c r="U5" s="15"/>
      <c r="V5" s="15"/>
      <c r="W5" s="15"/>
      <c r="X5" s="15"/>
      <c r="Y5" s="16"/>
    </row>
    <row r="6" customHeight="1" spans="1:25">
      <c r="A6" s="19"/>
      <c r="B6" s="20"/>
      <c r="C6" s="20"/>
      <c r="D6" s="21"/>
      <c r="E6" s="21" t="s">
        <v>1336</v>
      </c>
      <c r="F6" s="21" t="s">
        <v>1337</v>
      </c>
      <c r="G6" s="21" t="s">
        <v>1338</v>
      </c>
      <c r="H6" s="23" t="s">
        <v>1339</v>
      </c>
      <c r="I6" s="21" t="s">
        <v>1338</v>
      </c>
      <c r="J6" s="21"/>
      <c r="K6" s="21" t="s">
        <v>1340</v>
      </c>
      <c r="L6" s="21"/>
      <c r="M6" s="21" t="s">
        <v>1341</v>
      </c>
      <c r="N6" s="21"/>
      <c r="O6" s="23" t="s">
        <v>1339</v>
      </c>
      <c r="P6" s="23"/>
      <c r="Q6" s="22"/>
      <c r="R6" s="15"/>
      <c r="S6" s="15"/>
      <c r="T6" s="15"/>
      <c r="U6" s="15"/>
      <c r="V6" s="15"/>
      <c r="W6" s="15"/>
      <c r="X6" s="15"/>
      <c r="Y6" s="16"/>
    </row>
    <row r="7" ht="14.5" spans="1:25">
      <c r="A7" s="19"/>
      <c r="B7" s="20"/>
      <c r="C7" s="20"/>
      <c r="D7" s="21"/>
      <c r="E7" s="21" t="s">
        <v>1342</v>
      </c>
      <c r="F7" s="21" t="s">
        <v>1342</v>
      </c>
      <c r="G7" s="21" t="s">
        <v>1342</v>
      </c>
      <c r="H7" s="23" t="s">
        <v>1342</v>
      </c>
      <c r="I7" s="21" t="s">
        <v>1343</v>
      </c>
      <c r="J7" s="21" t="s">
        <v>1344</v>
      </c>
      <c r="K7" s="21" t="s">
        <v>1343</v>
      </c>
      <c r="L7" s="21" t="s">
        <v>1344</v>
      </c>
      <c r="M7" s="21" t="s">
        <v>1343</v>
      </c>
      <c r="N7" s="21" t="s">
        <v>1344</v>
      </c>
      <c r="O7" s="23" t="s">
        <v>1343</v>
      </c>
      <c r="P7" s="23" t="s">
        <v>1344</v>
      </c>
      <c r="Q7" s="22" t="s">
        <v>1345</v>
      </c>
      <c r="R7" s="15"/>
      <c r="S7" s="15"/>
      <c r="T7" s="15"/>
      <c r="U7" s="15"/>
      <c r="V7" s="15"/>
      <c r="W7" s="15"/>
      <c r="X7" s="15"/>
      <c r="Y7" s="16"/>
    </row>
    <row r="8" customHeight="1" spans="1:25">
      <c r="A8" s="13"/>
      <c r="B8" s="24" t="s">
        <v>1359</v>
      </c>
      <c r="C8" s="24"/>
      <c r="D8" s="25" t="s">
        <v>1347</v>
      </c>
      <c r="E8" s="26">
        <f>IFERROR(__xludf.dummyfunction("IMPORTRANGE(XLOOKUP($A$9,Tabela_Dados_Esc_JAB_2026[INEP],Tabela_Dados_Esc_JAB_2026[ID]),""ESCOLA!P12"")"),30)</f>
        <v>30</v>
      </c>
      <c r="F8" s="26">
        <f>IFERROR(__xludf.dummyfunction("IMPORTRANGE(XLOOKUP($A$9,Tabela_Dados_Esc_JAB_2026[INEP],Tabela_Dados_Esc_JAB_2026[ID]),""ESCOLA!P14"")"),30)</f>
        <v>30</v>
      </c>
      <c r="G8" s="26">
        <f>IFERROR(__xludf.dummyfunction("IMPORTRANGE(XLOOKUP($A$9,Tabela_Dados_Esc_JAB_2026[INEP],Tabela_Dados_Esc_JAB_2026[ID]),""ESCOLA!P16"")"),40)</f>
        <v>40</v>
      </c>
      <c r="H8" s="27">
        <f>SUM(E8:G8)</f>
        <v>100</v>
      </c>
      <c r="I8" s="26">
        <v>0</v>
      </c>
      <c r="J8" s="26">
        <v>0</v>
      </c>
      <c r="K8" s="26">
        <f>IFERROR(__xludf.dummyfunction("IMPORTRANGE(XLOOKUP($A$9,Tabela_Dados_Esc_JAB_2026[INEP],Tabela_Dados_Esc_JAB_2026[ID]),""ESCOLA!D20"")"),60)</f>
        <v>60</v>
      </c>
      <c r="L8" s="26">
        <f>IFERROR(__xludf.dummyfunction("IMPORTRANGE(XLOOKUP($A$9,Tabela_Dados_Esc_JAB_2026[INEP],Tabela_Dados_Esc_JAB_2026[ID]),""ESCOLA!H20"")"),60)</f>
        <v>60</v>
      </c>
      <c r="M8" s="26">
        <f>IFERROR(__xludf.dummyfunction("IMPORTRANGE(XLOOKUP($A$9,Tabela_Dados_Esc_JAB_2026[INEP],Tabela_Dados_Esc_JAB_2026[ID]),""ESCOLA!D22"")"),80)</f>
        <v>80</v>
      </c>
      <c r="N8" s="26">
        <f>IFERROR(__xludf.dummyfunction("IMPORTRANGE(XLOOKUP($A$9,Tabela_Dados_Esc_JAB_2026[INEP],Tabela_Dados_Esc_JAB_2026[ID]),""ESCOLA!H22"")"),80)</f>
        <v>80</v>
      </c>
      <c r="O8" s="27">
        <f>SUM(I8,K8,M8)</f>
        <v>140</v>
      </c>
      <c r="P8" s="27">
        <f>SUM(J8,L8,N8)</f>
        <v>140</v>
      </c>
      <c r="Q8" s="28">
        <f>SUM(H8,O8,P8)</f>
        <v>380</v>
      </c>
      <c r="R8" s="15"/>
      <c r="S8" s="15"/>
      <c r="T8" s="15"/>
      <c r="U8" s="15"/>
      <c r="V8" s="15"/>
      <c r="W8" s="15"/>
      <c r="X8" s="15"/>
      <c r="Y8" s="16"/>
    </row>
    <row r="9" ht="14.5" spans="1:25">
      <c r="A9" s="13" t="s">
        <v>746</v>
      </c>
      <c r="B9" s="24"/>
      <c r="C9" s="24"/>
      <c r="D9" s="25" t="s">
        <v>1348</v>
      </c>
      <c r="E9" s="26">
        <f>IFERROR(__xludf.dummyfunction("IMPORTRANGE(XLOOKUP($A$9,Tabela_Dados_Esc_JAB_2026[INEP],Tabela_Dados_Esc_JAB_2026[ID]),""ESCOLA!Q12"")"),30)</f>
        <v>30</v>
      </c>
      <c r="F9" s="26">
        <f>IFERROR(__xludf.dummyfunction("IMPORTRANGE(XLOOKUP($A$9,Tabela_Dados_Esc_JAB_2026[INEP],Tabela_Dados_Esc_JAB_2026[ID]),""ESCOLA!Q14"")"),31)</f>
        <v>31</v>
      </c>
      <c r="G9" s="26">
        <f>IFERROR(__xludf.dummyfunction("IMPORTRANGE(XLOOKUP($A$9,Tabela_Dados_Esc_JAB_2026[INEP],Tabela_Dados_Esc_JAB_2026[ID]),""ESCOLA!Q16"")"),40)</f>
        <v>40</v>
      </c>
      <c r="H9" s="27">
        <f>SUM(E9:G9)</f>
        <v>101</v>
      </c>
      <c r="I9" s="26">
        <f>IFERROR(__xludf.dummyfunction("IMPORTRANGE(XLOOKUP($A$9,Tabela_Dados_Esc_JAB_2026[INEP],Tabela_Dados_Esc_JAB_2026[ID]),""ESCOLA!E18"")"),0)</f>
        <v>0</v>
      </c>
      <c r="J9" s="26">
        <f>IFERROR(__xludf.dummyfunction("IMPORTRANGE(XLOOKUP($A$9,Tabela_Dados_Esc_JAB_2026[INEP],Tabela_Dados_Esc_JAB_2026[ID]),""ESCOLA!I18"")"),0)</f>
        <v>0</v>
      </c>
      <c r="K9" s="26">
        <f>IFERROR(__xludf.dummyfunction("IMPORTRANGE(XLOOKUP($A$9,Tabela_Dados_Esc_JAB_2026[INEP],Tabela_Dados_Esc_JAB_2026[ID]),""ESCOLA!E20"")"),60)</f>
        <v>60</v>
      </c>
      <c r="L9" s="26">
        <f>IFERROR(__xludf.dummyfunction("IMPORTRANGE(XLOOKUP($A$9,Tabela_Dados_Esc_JAB_2026[INEP],Tabela_Dados_Esc_JAB_2026[ID]),""ESCOLA!I20"")"),59)</f>
        <v>59</v>
      </c>
      <c r="M9" s="26">
        <f>IFERROR(__xludf.dummyfunction("IMPORTRANGE(XLOOKUP($A$9,Tabela_Dados_Esc_JAB_2026[INEP],Tabela_Dados_Esc_JAB_2026[ID]),""ESCOLA!E22"")"),81)</f>
        <v>81</v>
      </c>
      <c r="N9" s="26">
        <f>IFERROR(__xludf.dummyfunction("IMPORTRANGE(XLOOKUP($A$9,Tabela_Dados_Esc_JAB_2026[INEP],Tabela_Dados_Esc_JAB_2026[ID]),""ESCOLA!I22"")"),80)</f>
        <v>80</v>
      </c>
      <c r="O9" s="27">
        <f>SUM(I9,K9,M9)</f>
        <v>141</v>
      </c>
      <c r="P9" s="27">
        <f>SUM(J9,L9,N9)</f>
        <v>139</v>
      </c>
      <c r="Q9" s="28">
        <f>SUM(H9,O9,P9)</f>
        <v>381</v>
      </c>
      <c r="R9" s="15"/>
      <c r="S9" s="15"/>
      <c r="T9" s="15"/>
      <c r="U9" s="15"/>
      <c r="V9" s="15"/>
      <c r="W9" s="15"/>
      <c r="X9" s="15"/>
      <c r="Y9" s="16"/>
    </row>
    <row r="10" ht="14.5" spans="1:25">
      <c r="A10" s="13"/>
      <c r="B10" s="24"/>
      <c r="C10" s="24"/>
      <c r="D10" s="29" t="s">
        <v>1349</v>
      </c>
      <c r="E10" s="30">
        <f t="shared" ref="E10:Q10" si="0">SUM(E8-E9)</f>
        <v>0</v>
      </c>
      <c r="F10" s="30">
        <f t="shared" si="0"/>
        <v>-1</v>
      </c>
      <c r="G10" s="30">
        <f t="shared" si="0"/>
        <v>0</v>
      </c>
      <c r="H10" s="30">
        <f t="shared" si="0"/>
        <v>-1</v>
      </c>
      <c r="I10" s="30">
        <f t="shared" si="0"/>
        <v>0</v>
      </c>
      <c r="J10" s="30">
        <f t="shared" si="0"/>
        <v>0</v>
      </c>
      <c r="K10" s="30">
        <f t="shared" si="0"/>
        <v>0</v>
      </c>
      <c r="L10" s="30">
        <f t="shared" si="0"/>
        <v>1</v>
      </c>
      <c r="M10" s="30">
        <f t="shared" si="0"/>
        <v>-1</v>
      </c>
      <c r="N10" s="30">
        <f t="shared" si="0"/>
        <v>0</v>
      </c>
      <c r="O10" s="30">
        <f t="shared" si="0"/>
        <v>-1</v>
      </c>
      <c r="P10" s="30">
        <f t="shared" si="0"/>
        <v>1</v>
      </c>
      <c r="Q10" s="30">
        <f t="shared" si="0"/>
        <v>-1</v>
      </c>
      <c r="R10" s="15"/>
      <c r="S10" s="15"/>
      <c r="T10" s="15"/>
      <c r="U10" s="15"/>
      <c r="V10" s="15"/>
      <c r="W10" s="15"/>
      <c r="X10" s="15"/>
      <c r="Y10" s="16"/>
    </row>
    <row r="11" customHeight="1" spans="1:25">
      <c r="A11" s="13"/>
      <c r="B11" s="24" t="s">
        <v>1360</v>
      </c>
      <c r="C11" s="24"/>
      <c r="D11" s="25" t="s">
        <v>1347</v>
      </c>
      <c r="E11" s="26">
        <v>0</v>
      </c>
      <c r="F11" s="26">
        <v>0</v>
      </c>
      <c r="G11" s="26">
        <v>0</v>
      </c>
      <c r="H11" s="27">
        <f>SUM(E11:G11)</f>
        <v>0</v>
      </c>
      <c r="I11" s="26">
        <f>IFERROR(__xludf.dummyfunction("IMPORTRANGE(XLOOKUP($A$12,Tabela_Dados_Esc_JAB_2026[INEP],Tabela_Dados_Esc_JAB_2026[ID]),""ESCOLA!D18"")"),40)</f>
        <v>40</v>
      </c>
      <c r="J11" s="26">
        <f>IFERROR(__xludf.dummyfunction("IMPORTRANGE(XLOOKUP($A$12,Tabela_Dados_Esc_JAB_2026[INEP],Tabela_Dados_Esc_JAB_2026[ID]),""ESCOLA!H18"")"),40)</f>
        <v>40</v>
      </c>
      <c r="K11" s="26">
        <f>IFERROR(__xludf.dummyfunction("IMPORTRANGE(XLOOKUP($A$12,Tabela_Dados_Esc_JAB_2026[INEP],Tabela_Dados_Esc_JAB_2026[ID]),""ESCOLA!D20"")"),60)</f>
        <v>60</v>
      </c>
      <c r="L11" s="26">
        <f>IFERROR(__xludf.dummyfunction("IMPORTRANGE(XLOOKUP($A$12,Tabela_Dados_Esc_JAB_2026[INEP],Tabela_Dados_Esc_JAB_2026[ID]),""ESCOLA!H20"")"),60)</f>
        <v>60</v>
      </c>
      <c r="M11" s="26">
        <f>IFERROR(__xludf.dummyfunction("IMPORTRANGE(XLOOKUP($A$12,Tabela_Dados_Esc_JAB_2026[INEP],Tabela_Dados_Esc_JAB_2026[ID]),""ESCOLA!D22"")"),60)</f>
        <v>60</v>
      </c>
      <c r="N11" s="26">
        <f>IFERROR(__xludf.dummyfunction("IMPORTRANGE(XLOOKUP($A$12,Tabela_Dados_Esc_JAB_2026[INEP],Tabela_Dados_Esc_JAB_2026[ID]),""ESCOLA!H22"")"),60)</f>
        <v>60</v>
      </c>
      <c r="O11" s="27">
        <f>SUM(I11,K11,M11)</f>
        <v>160</v>
      </c>
      <c r="P11" s="27">
        <f>SUM(J11,L11,N11)</f>
        <v>160</v>
      </c>
      <c r="Q11" s="28">
        <f>SUM(H11,O11,P11)</f>
        <v>320</v>
      </c>
      <c r="R11" s="15"/>
      <c r="S11" s="15"/>
      <c r="T11" s="15"/>
      <c r="U11" s="15"/>
      <c r="V11" s="15"/>
      <c r="W11" s="15"/>
      <c r="X11" s="15"/>
      <c r="Y11" s="16"/>
    </row>
    <row r="12" ht="14.5" spans="1:25">
      <c r="A12" s="13" t="s">
        <v>755</v>
      </c>
      <c r="B12" s="24"/>
      <c r="C12" s="24"/>
      <c r="D12" s="25" t="s">
        <v>1348</v>
      </c>
      <c r="E12" s="26">
        <f>IFERROR(__xludf.dummyfunction("IMPORTRANGE(XLOOKUP($A$12,Tabela_Dados_Esc_JAB_2026[INEP],Tabela_Dados_Esc_JAB_2026[ID]),""ESCOLA!Q12"")"),0)</f>
        <v>0</v>
      </c>
      <c r="F12" s="26">
        <f>IFERROR(__xludf.dummyfunction("IMPORTRANGE(XLOOKUP($A$12,Tabela_Dados_Esc_JAB_2026[INEP],Tabela_Dados_Esc_JAB_2026[ID]),""ESCOLA!Q14"")"),0)</f>
        <v>0</v>
      </c>
      <c r="G12" s="26">
        <v>0</v>
      </c>
      <c r="H12" s="27">
        <f>SUM(E12:G12)</f>
        <v>0</v>
      </c>
      <c r="I12" s="26">
        <f>IFERROR(__xludf.dummyfunction("IMPORTRANGE(XLOOKUP($A$12,Tabela_Dados_Esc_JAB_2026[INEP],Tabela_Dados_Esc_JAB_2026[ID]),""ESCOLA!E18"")"),34)</f>
        <v>34</v>
      </c>
      <c r="J12" s="26">
        <f>IFERROR(__xludf.dummyfunction("IMPORTRANGE(XLOOKUP($A$12,Tabela_Dados_Esc_JAB_2026[INEP],Tabela_Dados_Esc_JAB_2026[ID]),""ESCOLA!I18"")"),34)</f>
        <v>34</v>
      </c>
      <c r="K12" s="26">
        <f>IFERROR(__xludf.dummyfunction("IMPORTRANGE(XLOOKUP($A$12,Tabela_Dados_Esc_JAB_2026[INEP],Tabela_Dados_Esc_JAB_2026[ID]),""ESCOLA!E20"")"),54)</f>
        <v>54</v>
      </c>
      <c r="L12" s="26">
        <f>IFERROR(__xludf.dummyfunction("IMPORTRANGE(XLOOKUP($A$12,Tabela_Dados_Esc_JAB_2026[INEP],Tabela_Dados_Esc_JAB_2026[ID]),""ESCOLA!I20"")"),57)</f>
        <v>57</v>
      </c>
      <c r="M12" s="26">
        <f>IFERROR(__xludf.dummyfunction("IMPORTRANGE(XLOOKUP($A$12,Tabela_Dados_Esc_JAB_2026[INEP],Tabela_Dados_Esc_JAB_2026[ID]),""ESCOLA!E22"")"),61)</f>
        <v>61</v>
      </c>
      <c r="N12" s="26">
        <f>IFERROR(__xludf.dummyfunction("IMPORTRANGE(XLOOKUP($A$12,Tabela_Dados_Esc_JAB_2026[INEP],Tabela_Dados_Esc_JAB_2026[ID]),""ESCOLA!I22"")"),63)</f>
        <v>63</v>
      </c>
      <c r="O12" s="27">
        <f>SUM(I12,K12,M12)</f>
        <v>149</v>
      </c>
      <c r="P12" s="27">
        <f>SUM(J12,L12,N12)</f>
        <v>154</v>
      </c>
      <c r="Q12" s="28">
        <f>SUM(H12,O12,P12)</f>
        <v>303</v>
      </c>
      <c r="R12" s="15"/>
      <c r="S12" s="15"/>
      <c r="T12" s="15"/>
      <c r="U12" s="15"/>
      <c r="V12" s="15"/>
      <c r="W12" s="15"/>
      <c r="X12" s="15"/>
      <c r="Y12" s="16"/>
    </row>
    <row r="13" ht="14.5" spans="1:25">
      <c r="A13" s="13"/>
      <c r="B13" s="24"/>
      <c r="C13" s="24"/>
      <c r="D13" s="29" t="s">
        <v>1349</v>
      </c>
      <c r="E13" s="30">
        <f t="shared" ref="E13:Q13" si="1">SUM(E11-E12)</f>
        <v>0</v>
      </c>
      <c r="F13" s="30">
        <f t="shared" si="1"/>
        <v>0</v>
      </c>
      <c r="G13" s="30">
        <f t="shared" si="1"/>
        <v>0</v>
      </c>
      <c r="H13" s="30">
        <f t="shared" si="1"/>
        <v>0</v>
      </c>
      <c r="I13" s="30">
        <f t="shared" si="1"/>
        <v>6</v>
      </c>
      <c r="J13" s="30">
        <f t="shared" si="1"/>
        <v>6</v>
      </c>
      <c r="K13" s="30">
        <f t="shared" si="1"/>
        <v>6</v>
      </c>
      <c r="L13" s="30">
        <f t="shared" si="1"/>
        <v>3</v>
      </c>
      <c r="M13" s="30">
        <f t="shared" si="1"/>
        <v>-1</v>
      </c>
      <c r="N13" s="30">
        <f t="shared" si="1"/>
        <v>-3</v>
      </c>
      <c r="O13" s="30">
        <f t="shared" si="1"/>
        <v>11</v>
      </c>
      <c r="P13" s="30">
        <f t="shared" si="1"/>
        <v>6</v>
      </c>
      <c r="Q13" s="30">
        <f t="shared" si="1"/>
        <v>17</v>
      </c>
      <c r="R13" s="15"/>
      <c r="S13" s="15"/>
      <c r="T13" s="15"/>
      <c r="U13" s="15"/>
      <c r="V13" s="15"/>
      <c r="W13" s="15"/>
      <c r="X13" s="15"/>
      <c r="Y13" s="16"/>
    </row>
    <row r="14" customHeight="1" spans="1:25">
      <c r="A14" s="13"/>
      <c r="B14" s="24" t="s">
        <v>1361</v>
      </c>
      <c r="C14" s="24"/>
      <c r="D14" s="25" t="s">
        <v>1347</v>
      </c>
      <c r="E14" s="26">
        <f>IFERROR(__xludf.dummyfunction("IMPORTRANGE(XLOOKUP($A$15,Tabela_Dados_Esc_JAB_2026[INEP],Tabela_Dados_Esc_JAB_2026[ID]),""ESCOLA!P12"")"),15)</f>
        <v>15</v>
      </c>
      <c r="F14" s="26">
        <f>IFERROR(__xludf.dummyfunction("IMPORTRANGE(XLOOKUP($A$15,Tabela_Dados_Esc_JAB_2026[INEP],Tabela_Dados_Esc_JAB_2026[ID]),""ESCOLA!P14"")"),30)</f>
        <v>30</v>
      </c>
      <c r="G14" s="26">
        <f>IFERROR(__xludf.dummyfunction("IMPORTRANGE(XLOOKUP($A$15,Tabela_Dados_Esc_JAB_2026[INEP],Tabela_Dados_Esc_JAB_2026[ID]),""ESCOLA!P16"")"),40)</f>
        <v>40</v>
      </c>
      <c r="H14" s="27">
        <f>SUM(E14:G14)</f>
        <v>85</v>
      </c>
      <c r="I14" s="26">
        <v>0</v>
      </c>
      <c r="J14" s="26">
        <v>0</v>
      </c>
      <c r="K14" s="26">
        <f>IFERROR(__xludf.dummyfunction("IMPORTRANGE(XLOOKUP($A$15,Tabela_Dados_Esc_JAB_2026[INEP],Tabela_Dados_Esc_JAB_2026[ID]),""ESCOLA!D20"")"),40)</f>
        <v>40</v>
      </c>
      <c r="L14" s="26">
        <f>IFERROR(__xludf.dummyfunction("IMPORTRANGE(XLOOKUP($A$15,Tabela_Dados_Esc_JAB_2026[INEP],Tabela_Dados_Esc_JAB_2026[ID]),""ESCOLA!H20"")"),20)</f>
        <v>20</v>
      </c>
      <c r="M14" s="26">
        <f>IFERROR(__xludf.dummyfunction("IMPORTRANGE(XLOOKUP($A$15,Tabela_Dados_Esc_JAB_2026[INEP],Tabela_Dados_Esc_JAB_2026[ID]),""ESCOLA!D22"")"),40)</f>
        <v>40</v>
      </c>
      <c r="N14" s="26">
        <f>IFERROR(__xludf.dummyfunction("IMPORTRANGE(XLOOKUP($A$15,Tabela_Dados_Esc_JAB_2026[INEP],Tabela_Dados_Esc_JAB_2026[ID]),""ESCOLA!H22"")"),20)</f>
        <v>20</v>
      </c>
      <c r="O14" s="27">
        <f>SUM(I14,K14,M14)</f>
        <v>80</v>
      </c>
      <c r="P14" s="27">
        <f>SUM(J14,L14,N14)</f>
        <v>40</v>
      </c>
      <c r="Q14" s="28">
        <f>SUM(H14,O14,P14)</f>
        <v>205</v>
      </c>
      <c r="R14" s="15"/>
      <c r="S14" s="15"/>
      <c r="T14" s="15"/>
      <c r="U14" s="15"/>
      <c r="V14" s="15"/>
      <c r="W14" s="15"/>
      <c r="X14" s="15"/>
      <c r="Y14" s="16"/>
    </row>
    <row r="15" ht="14.5" spans="1:25">
      <c r="A15" s="13" t="s">
        <v>764</v>
      </c>
      <c r="B15" s="24"/>
      <c r="C15" s="24"/>
      <c r="D15" s="25" t="s">
        <v>1348</v>
      </c>
      <c r="E15" s="26">
        <f>IFERROR(__xludf.dummyfunction("IMPORTRANGE(XLOOKUP($A$15,Tabela_Dados_Esc_JAB_2026[INEP],Tabela_Dados_Esc_JAB_2026[ID]),""ESCOLA!Q12"")"),15)</f>
        <v>15</v>
      </c>
      <c r="F15" s="26">
        <f>IFERROR(__xludf.dummyfunction("IMPORTRANGE(XLOOKUP($A$15,Tabela_Dados_Esc_JAB_2026[INEP],Tabela_Dados_Esc_JAB_2026[ID]),""ESCOLA!Q14"")"),30)</f>
        <v>30</v>
      </c>
      <c r="G15" s="26">
        <f>IFERROR(__xludf.dummyfunction("IMPORTRANGE(XLOOKUP($A$15,Tabela_Dados_Esc_JAB_2026[INEP],Tabela_Dados_Esc_JAB_2026[ID]),""ESCOLA!Q16"")"),33)</f>
        <v>33</v>
      </c>
      <c r="H15" s="27">
        <f>SUM(E15:G15)</f>
        <v>78</v>
      </c>
      <c r="I15" s="26">
        <f>IFERROR(__xludf.dummyfunction("IMPORTRANGE(XLOOKUP($A$15,Tabela_Dados_Esc_JAB_2026[INEP],Tabela_Dados_Esc_JAB_2026[ID]),""ESCOLA!E18"")"),0)</f>
        <v>0</v>
      </c>
      <c r="J15" s="26">
        <f>IFERROR(__xludf.dummyfunction("IMPORTRANGE(XLOOKUP($A$15,Tabela_Dados_Esc_JAB_2026[INEP],Tabela_Dados_Esc_JAB_2026[ID]),""ESCOLA!I18"")"),0)</f>
        <v>0</v>
      </c>
      <c r="K15" s="26">
        <f>IFERROR(__xludf.dummyfunction("IMPORTRANGE(XLOOKUP($A$15,Tabela_Dados_Esc_JAB_2026[INEP],Tabela_Dados_Esc_JAB_2026[ID]),""ESCOLA!E20"")"),35)</f>
        <v>35</v>
      </c>
      <c r="L15" s="26">
        <f>IFERROR(__xludf.dummyfunction("IMPORTRANGE(XLOOKUP($A$15,Tabela_Dados_Esc_JAB_2026[INEP],Tabela_Dados_Esc_JAB_2026[ID]),""ESCOLA!I20"")"),11)</f>
        <v>11</v>
      </c>
      <c r="M15" s="26">
        <f>IFERROR(__xludf.dummyfunction("IMPORTRANGE(XLOOKUP($A$15,Tabela_Dados_Esc_JAB_2026[INEP],Tabela_Dados_Esc_JAB_2026[ID]),""ESCOLA!E22"")"),21)</f>
        <v>21</v>
      </c>
      <c r="N15" s="26">
        <f>IFERROR(__xludf.dummyfunction("IMPORTRANGE(XLOOKUP($A$15,Tabela_Dados_Esc_JAB_2026[INEP],Tabela_Dados_Esc_JAB_2026[ID]),""ESCOLA!I22"")"),18)</f>
        <v>18</v>
      </c>
      <c r="O15" s="27">
        <v>0</v>
      </c>
      <c r="P15" s="27">
        <f>SUM(J15,L15,N15)</f>
        <v>29</v>
      </c>
      <c r="Q15" s="28">
        <f>SUM(H15,O15,P15)</f>
        <v>107</v>
      </c>
      <c r="R15" s="15"/>
      <c r="S15" s="15"/>
      <c r="T15" s="15"/>
      <c r="U15" s="15"/>
      <c r="V15" s="15"/>
      <c r="W15" s="15"/>
      <c r="X15" s="15"/>
      <c r="Y15" s="16"/>
    </row>
    <row r="16" ht="14.5" spans="1:25">
      <c r="A16" s="13"/>
      <c r="B16" s="24"/>
      <c r="C16" s="24"/>
      <c r="D16" s="29" t="s">
        <v>1349</v>
      </c>
      <c r="E16" s="30">
        <f t="shared" ref="E16:Q16" si="2">SUM(E14-E15)</f>
        <v>0</v>
      </c>
      <c r="F16" s="30">
        <f t="shared" si="2"/>
        <v>0</v>
      </c>
      <c r="G16" s="30">
        <f t="shared" si="2"/>
        <v>7</v>
      </c>
      <c r="H16" s="30">
        <f t="shared" si="2"/>
        <v>7</v>
      </c>
      <c r="I16" s="30">
        <f t="shared" si="2"/>
        <v>0</v>
      </c>
      <c r="J16" s="30">
        <f t="shared" si="2"/>
        <v>0</v>
      </c>
      <c r="K16" s="30">
        <f t="shared" si="2"/>
        <v>5</v>
      </c>
      <c r="L16" s="30">
        <f t="shared" si="2"/>
        <v>9</v>
      </c>
      <c r="M16" s="30">
        <f t="shared" si="2"/>
        <v>19</v>
      </c>
      <c r="N16" s="30">
        <f t="shared" si="2"/>
        <v>2</v>
      </c>
      <c r="O16" s="30">
        <f t="shared" si="2"/>
        <v>80</v>
      </c>
      <c r="P16" s="30">
        <f t="shared" si="2"/>
        <v>11</v>
      </c>
      <c r="Q16" s="30">
        <f t="shared" si="2"/>
        <v>98</v>
      </c>
      <c r="R16" s="15"/>
      <c r="S16" s="15"/>
      <c r="T16" s="15"/>
      <c r="U16" s="15"/>
      <c r="V16" s="15"/>
      <c r="W16" s="15"/>
      <c r="X16" s="15"/>
      <c r="Y16" s="16"/>
    </row>
    <row r="17" customHeight="1" spans="1:25">
      <c r="A17" s="13"/>
      <c r="B17" s="24" t="s">
        <v>774</v>
      </c>
      <c r="C17" s="24"/>
      <c r="D17" s="25" t="s">
        <v>1347</v>
      </c>
      <c r="E17" s="26">
        <f>IFERROR(__xludf.dummyfunction("IMPORTRANGE(XLOOKUP($A$18,Tabela_Dados_Esc_JAB_2026[INEP],Tabela_Dados_Esc_JAB_2026[ID]),""ESCOLA!P12"")"),15)</f>
        <v>15</v>
      </c>
      <c r="F17" s="26">
        <f>IFERROR(__xludf.dummyfunction("IMPORTRANGE(XLOOKUP($A$18,Tabela_Dados_Esc_JAB_2026[INEP],Tabela_Dados_Esc_JAB_2026[ID]),""ESCOLA!P14"")"),15)</f>
        <v>15</v>
      </c>
      <c r="G17" s="26">
        <f>IFERROR(__xludf.dummyfunction("IMPORTRANGE(XLOOKUP($A$18,Tabela_Dados_Esc_JAB_2026[INEP],Tabela_Dados_Esc_JAB_2026[ID]),""ESCOLA!P16"")"),40)</f>
        <v>40</v>
      </c>
      <c r="H17" s="27">
        <f>SUM(E17:G17)</f>
        <v>70</v>
      </c>
      <c r="I17" s="26">
        <v>0</v>
      </c>
      <c r="J17" s="26">
        <v>0</v>
      </c>
      <c r="K17" s="26">
        <f>IFERROR(__xludf.dummyfunction("IMPORTRANGE(XLOOKUP($A$18,Tabela_Dados_Esc_JAB_2026[INEP],Tabela_Dados_Esc_JAB_2026[ID]),""ESCOLA!D20"")"),70)</f>
        <v>70</v>
      </c>
      <c r="L17" s="26">
        <v>0</v>
      </c>
      <c r="M17" s="26">
        <v>0</v>
      </c>
      <c r="N17" s="26">
        <f>IFERROR(__xludf.dummyfunction("IMPORTRANGE(XLOOKUP($A$18,Tabela_Dados_Esc_JAB_2026[INEP],Tabela_Dados_Esc_JAB_2026[ID]),""ESCOLA!H22"")"),70)</f>
        <v>70</v>
      </c>
      <c r="O17" s="27">
        <f>SUM(I17,K17,M17)</f>
        <v>70</v>
      </c>
      <c r="P17" s="27">
        <f>SUM(J17,L17,N17)</f>
        <v>70</v>
      </c>
      <c r="Q17" s="28">
        <f>SUM(H17,O17,P17)</f>
        <v>210</v>
      </c>
      <c r="R17" s="15"/>
      <c r="S17" s="15"/>
      <c r="T17" s="15"/>
      <c r="U17" s="15"/>
      <c r="V17" s="15"/>
      <c r="W17" s="15"/>
      <c r="X17" s="15"/>
      <c r="Y17" s="16"/>
    </row>
    <row r="18" ht="14.5" spans="1:25">
      <c r="A18" s="13" t="s">
        <v>773</v>
      </c>
      <c r="B18" s="24"/>
      <c r="C18" s="24"/>
      <c r="D18" s="25" t="s">
        <v>1348</v>
      </c>
      <c r="E18" s="26">
        <f>IFERROR(__xludf.dummyfunction("IMPORTRANGE(XLOOKUP($A$18,Tabela_Dados_Esc_JAB_2026[INEP],Tabela_Dados_Esc_JAB_2026[ID]),""ESCOLA!Q12"")"),16)</f>
        <v>16</v>
      </c>
      <c r="F18" s="26">
        <f>IFERROR(__xludf.dummyfunction("IMPORTRANGE(XLOOKUP($A$18,Tabela_Dados_Esc_JAB_2026[INEP],Tabela_Dados_Esc_JAB_2026[ID]),""ESCOLA!Q14"")"),16)</f>
        <v>16</v>
      </c>
      <c r="G18" s="26">
        <f>IFERROR(__xludf.dummyfunction("IMPORTRANGE(XLOOKUP($A$18,Tabela_Dados_Esc_JAB_2026[INEP],Tabela_Dados_Esc_JAB_2026[ID]),""ESCOLA!Q16"")"),33)</f>
        <v>33</v>
      </c>
      <c r="H18" s="27">
        <f>SUM(E18:G18)</f>
        <v>65</v>
      </c>
      <c r="I18" s="26">
        <f>IFERROR(__xludf.dummyfunction("IMPORTRANGE(XLOOKUP($A$18,Tabela_Dados_Esc_JAB_2026[INEP],Tabela_Dados_Esc_JAB_2026[ID]),""ESCOLA!E18"")"),0)</f>
        <v>0</v>
      </c>
      <c r="J18" s="26">
        <f>IFERROR(__xludf.dummyfunction("IMPORTRANGE(XLOOKUP($A$18,Tabela_Dados_Esc_JAB_2026[INEP],Tabela_Dados_Esc_JAB_2026[ID]),""ESCOLA!I18"")"),0)</f>
        <v>0</v>
      </c>
      <c r="K18" s="26">
        <f>IFERROR(__xludf.dummyfunction("IMPORTRANGE(XLOOKUP($A$18,Tabela_Dados_Esc_JAB_2026[INEP],Tabela_Dados_Esc_JAB_2026[ID]),""ESCOLA!E20"")"),50)</f>
        <v>50</v>
      </c>
      <c r="L18" s="26">
        <f>IFERROR(__xludf.dummyfunction("IMPORTRANGE(XLOOKUP($A$18,Tabela_Dados_Esc_JAB_2026[INEP],Tabela_Dados_Esc_JAB_2026[ID]),""ESCOLA!I20"")"),0)</f>
        <v>0</v>
      </c>
      <c r="M18" s="26">
        <f>IFERROR(__xludf.dummyfunction("IMPORTRANGE(XLOOKUP($A$18,Tabela_Dados_Esc_JAB_2026[INEP],Tabela_Dados_Esc_JAB_2026[ID]),""ESCOLA!E22"")"),0)</f>
        <v>0</v>
      </c>
      <c r="N18" s="26">
        <f>IFERROR(__xludf.dummyfunction("IMPORTRANGE(XLOOKUP($A$18,Tabela_Dados_Esc_JAB_2026[INEP],Tabela_Dados_Esc_JAB_2026[ID]),""ESCOLA!I22"")"),58)</f>
        <v>58</v>
      </c>
      <c r="O18" s="27">
        <v>0</v>
      </c>
      <c r="P18" s="27">
        <f>SUM(J18,L18,N18)</f>
        <v>58</v>
      </c>
      <c r="Q18" s="28">
        <f>SUM(H18,O18,P18)</f>
        <v>123</v>
      </c>
      <c r="R18" s="15"/>
      <c r="S18" s="15"/>
      <c r="T18" s="15"/>
      <c r="U18" s="15"/>
      <c r="V18" s="15"/>
      <c r="W18" s="15"/>
      <c r="X18" s="15"/>
      <c r="Y18" s="16"/>
    </row>
    <row r="19" ht="14.5" spans="1:25">
      <c r="A19" s="13"/>
      <c r="B19" s="24"/>
      <c r="C19" s="24"/>
      <c r="D19" s="29" t="s">
        <v>1349</v>
      </c>
      <c r="E19" s="30">
        <f t="shared" ref="E19:J19" si="3">SUM(E17-E18)</f>
        <v>-1</v>
      </c>
      <c r="F19" s="30">
        <f t="shared" si="3"/>
        <v>-1</v>
      </c>
      <c r="G19" s="30">
        <f t="shared" si="3"/>
        <v>7</v>
      </c>
      <c r="H19" s="30">
        <f t="shared" si="3"/>
        <v>5</v>
      </c>
      <c r="I19" s="30">
        <f t="shared" si="3"/>
        <v>0</v>
      </c>
      <c r="J19" s="30">
        <f t="shared" si="3"/>
        <v>0</v>
      </c>
      <c r="K19" s="30">
        <f t="shared" ref="K19:Q19" si="4">SUM(K17-K20)</f>
        <v>70</v>
      </c>
      <c r="L19" s="30">
        <f t="shared" si="4"/>
        <v>0</v>
      </c>
      <c r="M19" s="30">
        <f t="shared" si="4"/>
        <v>0</v>
      </c>
      <c r="N19" s="30">
        <f t="shared" si="4"/>
        <v>70</v>
      </c>
      <c r="O19" s="30">
        <f t="shared" si="4"/>
        <v>70</v>
      </c>
      <c r="P19" s="30">
        <f t="shared" si="4"/>
        <v>70</v>
      </c>
      <c r="Q19" s="30">
        <f t="shared" si="4"/>
        <v>210</v>
      </c>
      <c r="R19" s="15"/>
      <c r="S19" s="15"/>
      <c r="T19" s="15"/>
      <c r="U19" s="15"/>
      <c r="V19" s="15"/>
      <c r="W19" s="15"/>
      <c r="X19" s="15"/>
      <c r="Y19" s="16"/>
    </row>
    <row r="20" ht="14.5" spans="1:25">
      <c r="A20" s="13"/>
      <c r="B20" s="14"/>
      <c r="C20" s="14"/>
      <c r="D20" s="14"/>
      <c r="E20" s="14"/>
      <c r="F20" s="14"/>
      <c r="G20" s="14"/>
      <c r="H20" s="1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</row>
    <row r="21" ht="15.75" customHeight="1" spans="1:25">
      <c r="A21" s="13"/>
      <c r="B21" s="14"/>
      <c r="C21" s="14"/>
      <c r="D21" s="14"/>
      <c r="E21" s="14"/>
      <c r="F21" s="14"/>
      <c r="G21" s="14"/>
      <c r="H21" s="1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</row>
    <row r="22" ht="15.75" customHeight="1" spans="1:25">
      <c r="A22" s="13"/>
      <c r="B22" s="14"/>
      <c r="C22" s="14"/>
      <c r="D22" s="14"/>
      <c r="E22" s="14"/>
      <c r="F22" s="14"/>
      <c r="G22" s="14"/>
      <c r="H22" s="1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</row>
    <row r="23" ht="29" spans="1:25">
      <c r="A23" s="53" t="s">
        <v>23</v>
      </c>
      <c r="B23" s="54" t="s">
        <v>15</v>
      </c>
      <c r="C23" s="55" t="s">
        <v>1351</v>
      </c>
      <c r="D23" s="55" t="s">
        <v>16</v>
      </c>
      <c r="E23" s="55" t="s">
        <v>17</v>
      </c>
      <c r="F23" s="55" t="s">
        <v>11</v>
      </c>
      <c r="G23" s="56" t="s">
        <v>18</v>
      </c>
      <c r="H23" s="56" t="s">
        <v>19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ht="15.75" customHeight="1" spans="1:25">
      <c r="A24" s="36" t="str">
        <f t="shared" ref="A24:A87" si="5">IF(B24&lt;&gt;"","REGIONAL 5","")</f>
        <v>REGIONAL 5</v>
      </c>
      <c r="B24" s="37" t="str">
        <f>IFERROR(__xludf.dummyfunction("QUERY(dados_02!$A$2:$H$675, ""SELECT Col1, Col2, Col3, Col4, Col5, Col6, Col7  where Col8 = 'REGIONAL 5' "")"),"19/03/2026 08:28:18")</f>
        <v>19/03/2026 08:28:18</v>
      </c>
      <c r="C24" s="38" t="str">
        <f>IFERROR(__xludf.dummyfunction("""COMPUTED_VALUE"""),"1")</f>
        <v>1</v>
      </c>
      <c r="D24" s="15" t="str">
        <f>IFERROR(__xludf.dummyfunction("""COMPUTED_VALUE"""),"M. C. D. L")</f>
        <v>M. C. D. L</v>
      </c>
      <c r="E24" s="39" t="str">
        <f>IFERROR(__xludf.dummyfunction("""COMPUTED_VALUE"""),"16/12/2024")</f>
        <v>16/12/2024</v>
      </c>
      <c r="F24" s="15" t="str">
        <f>IFERROR(__xludf.dummyfunction("""COMPUTED_VALUE"""),"004******32")</f>
        <v>004******32</v>
      </c>
      <c r="G24" s="15" t="str">
        <f>IFERROR(__xludf.dummyfunction("""COMPUTED_VALUE"""),"INFANTIL 1")</f>
        <v>INFANTIL 1</v>
      </c>
      <c r="H24" s="40" t="str">
        <f>IFERROR(__xludf.dummyfunction("""COMPUTED_VALUE"""),"CEMEI PROFª MARIA LUZIA RIO LIMA")</f>
        <v>CEMEI PROFª MARIA LUZIA RIO LIMA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5.75" customHeight="1" spans="1:25">
      <c r="A25" s="36" t="str">
        <f t="shared" si="5"/>
        <v>REGIONAL 5</v>
      </c>
      <c r="B25" s="37" t="str">
        <f>IFERROR(__xludf.dummyfunction("""COMPUTED_VALUE"""),"19/03/2026 08:46:18")</f>
        <v>19/03/2026 08:46:18</v>
      </c>
      <c r="C25" s="38" t="str">
        <f>IFERROR(__xludf.dummyfunction("""COMPUTED_VALUE"""),"2")</f>
        <v>2</v>
      </c>
      <c r="D25" s="15" t="str">
        <f>IFERROR(__xludf.dummyfunction("""COMPUTED_VALUE"""),"M. F. D. L")</f>
        <v>M. F. D. L</v>
      </c>
      <c r="E25" s="39" t="str">
        <f>IFERROR(__xludf.dummyfunction("""COMPUTED_VALUE"""),"16/12/2024")</f>
        <v>16/12/2024</v>
      </c>
      <c r="F25" s="15" t="str">
        <f>IFERROR(__xludf.dummyfunction("""COMPUTED_VALUE"""),"004******97")</f>
        <v>004******97</v>
      </c>
      <c r="G25" s="15" t="str">
        <f>IFERROR(__xludf.dummyfunction("""COMPUTED_VALUE"""),"INFANTIL 1")</f>
        <v>INFANTIL 1</v>
      </c>
      <c r="H25" s="40" t="str">
        <f>IFERROR(__xludf.dummyfunction("""COMPUTED_VALUE"""),"CEMEI PROFª MARIA LUZIA RIO LIMA")</f>
        <v>CEMEI PROFª MARIA LUZIA RIO LIMA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5.75" customHeight="1" spans="1:25">
      <c r="A26" s="36" t="str">
        <f t="shared" si="5"/>
        <v>REGIONAL 5</v>
      </c>
      <c r="B26" s="37" t="str">
        <f>IFERROR(__xludf.dummyfunction("""COMPUTED_VALUE"""),"06/05/2026 15:38:45")</f>
        <v>06/05/2026 15:38:45</v>
      </c>
      <c r="C26" s="38" t="str">
        <f>IFERROR(__xludf.dummyfunction("""COMPUTED_VALUE"""),"3")</f>
        <v>3</v>
      </c>
      <c r="D26" s="15" t="str">
        <f>IFERROR(__xludf.dummyfunction("""COMPUTED_VALUE"""),"E. L. F. D. S")</f>
        <v>E. L. F. D. S</v>
      </c>
      <c r="E26" s="39" t="str">
        <f>IFERROR(__xludf.dummyfunction("""COMPUTED_VALUE"""),"05/09/2024")</f>
        <v>05/09/2024</v>
      </c>
      <c r="F26" s="15" t="str">
        <f>IFERROR(__xludf.dummyfunction("""COMPUTED_VALUE"""),"118******81")</f>
        <v>118******81</v>
      </c>
      <c r="G26" s="15" t="str">
        <f>IFERROR(__xludf.dummyfunction("""COMPUTED_VALUE"""),"INFANTIL 1")</f>
        <v>INFANTIL 1</v>
      </c>
      <c r="H26" s="40" t="str">
        <f>IFERROR(__xludf.dummyfunction("""COMPUTED_VALUE"""),"CEMEI PROFª MARIA LUZIA RIO LIMA")</f>
        <v>CEMEI PROFª MARIA LUZIA RIO LIMA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 spans="1:25">
      <c r="A27" s="36" t="str">
        <f t="shared" si="5"/>
        <v>REGIONAL 5</v>
      </c>
      <c r="B27" s="37" t="str">
        <f>IFERROR(__xludf.dummyfunction("""COMPUTED_VALUE"""),"10/06/2026 16:57:35")</f>
        <v>10/06/2026 16:57:35</v>
      </c>
      <c r="C27" s="38" t="str">
        <f>IFERROR(__xludf.dummyfunction("""COMPUTED_VALUE"""),"4")</f>
        <v>4</v>
      </c>
      <c r="D27" s="15" t="str">
        <f>IFERROR(__xludf.dummyfunction("""COMPUTED_VALUE"""),"E. S. d. m")</f>
        <v>E. S. d. m</v>
      </c>
      <c r="E27" s="39" t="str">
        <f>IFERROR(__xludf.dummyfunction("""COMPUTED_VALUE"""),"19/09/2024")</f>
        <v>19/09/2024</v>
      </c>
      <c r="F27" s="15" t="str">
        <f>IFERROR(__xludf.dummyfunction("""COMPUTED_VALUE"""),"004******08")</f>
        <v>004******08</v>
      </c>
      <c r="G27" s="15" t="str">
        <f>IFERROR(__xludf.dummyfunction("""COMPUTED_VALUE"""),"INFANTIL 1")</f>
        <v>INFANTIL 1</v>
      </c>
      <c r="H27" s="40" t="str">
        <f>IFERROR(__xludf.dummyfunction("""COMPUTED_VALUE"""),"CEMEI PROFª MARIA LUZIA RIO LIMA")</f>
        <v>CEMEI PROFª MARIA LUZIA RIO LIMA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 spans="1:25">
      <c r="A28" s="36" t="str">
        <f t="shared" si="5"/>
        <v>REGIONAL 5</v>
      </c>
      <c r="B28" s="37" t="str">
        <f>IFERROR(__xludf.dummyfunction("""COMPUTED_VALUE"""),"10/06/2026 17:01:25")</f>
        <v>10/06/2026 17:01:25</v>
      </c>
      <c r="C28" s="38" t="str">
        <f>IFERROR(__xludf.dummyfunction("""COMPUTED_VALUE"""),"5")</f>
        <v>5</v>
      </c>
      <c r="D28" s="15" t="str">
        <f>IFERROR(__xludf.dummyfunction("""COMPUTED_VALUE"""),"D. S. d. M")</f>
        <v>D. S. d. M</v>
      </c>
      <c r="E28" s="39" t="str">
        <f>IFERROR(__xludf.dummyfunction("""COMPUTED_VALUE"""),"19/09/2024")</f>
        <v>19/09/2024</v>
      </c>
      <c r="F28" s="15" t="str">
        <f>IFERROR(__xludf.dummyfunction("""COMPUTED_VALUE"""),"004******92")</f>
        <v>004******92</v>
      </c>
      <c r="G28" s="15" t="str">
        <f>IFERROR(__xludf.dummyfunction("""COMPUTED_VALUE"""),"INFANTIL 1")</f>
        <v>INFANTIL 1</v>
      </c>
      <c r="H28" s="40" t="str">
        <f>IFERROR(__xludf.dummyfunction("""COMPUTED_VALUE"""),"CEMEI PROFª MARIA LUZIA RIO LIMA")</f>
        <v>CEMEI PROFª MARIA LUZIA RIO LIMA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 spans="1:25">
      <c r="A29" s="36" t="str">
        <f t="shared" si="5"/>
        <v>REGIONAL 5</v>
      </c>
      <c r="B29" s="37" t="str">
        <f>IFERROR(__xludf.dummyfunction("""COMPUTED_VALUE"""),"28/01/2026 08:08:37")</f>
        <v>28/01/2026 08:08:37</v>
      </c>
      <c r="C29" s="38" t="str">
        <f>IFERROR(__xludf.dummyfunction("""COMPUTED_VALUE"""),"1")</f>
        <v>1</v>
      </c>
      <c r="D29" s="15" t="str">
        <f>IFERROR(__xludf.dummyfunction("""COMPUTED_VALUE"""),"B. A. C. S")</f>
        <v>B. A. C. S</v>
      </c>
      <c r="E29" s="39" t="str">
        <f>IFERROR(__xludf.dummyfunction("""COMPUTED_VALUE"""),"13/09/2024")</f>
        <v>13/09/2024</v>
      </c>
      <c r="F29" s="15" t="str">
        <f>IFERROR(__xludf.dummyfunction("""COMPUTED_VALUE"""),"004******74")</f>
        <v>004******74</v>
      </c>
      <c r="G29" s="15" t="str">
        <f>IFERROR(__xludf.dummyfunction("""COMPUTED_VALUE"""),"INFANTIL 1")</f>
        <v>INFANTIL 1</v>
      </c>
      <c r="H29" s="40" t="str">
        <f>IFERROR(__xludf.dummyfunction("""COMPUTED_VALUE"""),"CEMEI PROFESSORA LINDOMAR DOMINGOS DA SILVA ANJOS")</f>
        <v>CEMEI PROFESSORA LINDOMAR DOMINGOS DA SILVA ANJOS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 spans="1:25">
      <c r="A30" s="36" t="str">
        <f t="shared" si="5"/>
        <v>REGIONAL 5</v>
      </c>
      <c r="B30" s="37" t="str">
        <f>IFERROR(__xludf.dummyfunction("""COMPUTED_VALUE"""),"28/01/2026 08:11:25")</f>
        <v>28/01/2026 08:11:25</v>
      </c>
      <c r="C30" s="38" t="str">
        <f>IFERROR(__xludf.dummyfunction("""COMPUTED_VALUE"""),"2")</f>
        <v>2</v>
      </c>
      <c r="D30" s="15" t="str">
        <f>IFERROR(__xludf.dummyfunction("""COMPUTED_VALUE"""),"A. L. C. D. S. M")</f>
        <v>A. L. C. D. S. M</v>
      </c>
      <c r="E30" s="39" t="str">
        <f>IFERROR(__xludf.dummyfunction("""COMPUTED_VALUE"""),"20/04/2024")</f>
        <v>20/04/2024</v>
      </c>
      <c r="F30" s="15" t="str">
        <f>IFERROR(__xludf.dummyfunction("""COMPUTED_VALUE"""),"170******77")</f>
        <v>170******77</v>
      </c>
      <c r="G30" s="15" t="str">
        <f>IFERROR(__xludf.dummyfunction("""COMPUTED_VALUE"""),"INFANTIL 1")</f>
        <v>INFANTIL 1</v>
      </c>
      <c r="H30" s="40" t="str">
        <f>IFERROR(__xludf.dummyfunction("""COMPUTED_VALUE"""),"CEMEI PROFESSORA LINDOMAR DOMINGOS DA SILVA ANJOS")</f>
        <v>CEMEI PROFESSORA LINDOMAR DOMINGOS DA SILVA ANJOS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5.75" customHeight="1" spans="1:25">
      <c r="A31" s="36" t="str">
        <f t="shared" si="5"/>
        <v>REGIONAL 5</v>
      </c>
      <c r="B31" s="37" t="str">
        <f>IFERROR(__xludf.dummyfunction("""COMPUTED_VALUE"""),"28/01/2026 08:13:45")</f>
        <v>28/01/2026 08:13:45</v>
      </c>
      <c r="C31" s="38" t="str">
        <f>IFERROR(__xludf.dummyfunction("""COMPUTED_VALUE"""),"3")</f>
        <v>3</v>
      </c>
      <c r="D31" s="15" t="str">
        <f>IFERROR(__xludf.dummyfunction("""COMPUTED_VALUE"""),"G. L. C. D. S")</f>
        <v>G. L. C. D. S</v>
      </c>
      <c r="E31" s="39" t="str">
        <f>IFERROR(__xludf.dummyfunction("""COMPUTED_VALUE"""),"18/07/2024")</f>
        <v>18/07/2024</v>
      </c>
      <c r="F31" s="15" t="str">
        <f>IFERROR(__xludf.dummyfunction("""COMPUTED_VALUE"""),"003******31")</f>
        <v>003******31</v>
      </c>
      <c r="G31" s="15" t="str">
        <f>IFERROR(__xludf.dummyfunction("""COMPUTED_VALUE"""),"INFANTIL 1")</f>
        <v>INFANTIL 1</v>
      </c>
      <c r="H31" s="40" t="str">
        <f>IFERROR(__xludf.dummyfunction("""COMPUTED_VALUE"""),"CEMEI PROFESSORA LINDOMAR DOMINGOS DA SILVA ANJOS")</f>
        <v>CEMEI PROFESSORA LINDOMAR DOMINGOS DA SILVA ANJOS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5.75" customHeight="1" spans="1:25">
      <c r="A32" s="36" t="str">
        <f t="shared" si="5"/>
        <v>REGIONAL 5</v>
      </c>
      <c r="B32" s="37" t="str">
        <f>IFERROR(__xludf.dummyfunction("""COMPUTED_VALUE"""),"28/01/2026 08:25:22")</f>
        <v>28/01/2026 08:25:22</v>
      </c>
      <c r="C32" s="38" t="str">
        <f>IFERROR(__xludf.dummyfunction("""COMPUTED_VALUE"""),"4")</f>
        <v>4</v>
      </c>
      <c r="D32" s="15" t="str">
        <f>IFERROR(__xludf.dummyfunction("""COMPUTED_VALUE"""),"H. M. B. D. S")</f>
        <v>H. M. B. D. S</v>
      </c>
      <c r="E32" s="39" t="str">
        <f>IFERROR(__xludf.dummyfunction("""COMPUTED_VALUE"""),"02/11/2024")</f>
        <v>02/11/2024</v>
      </c>
      <c r="F32" s="15" t="str">
        <f>IFERROR(__xludf.dummyfunction("""COMPUTED_VALUE"""),"004******61")</f>
        <v>004******61</v>
      </c>
      <c r="G32" s="15" t="str">
        <f>IFERROR(__xludf.dummyfunction("""COMPUTED_VALUE"""),"INFANTIL 1")</f>
        <v>INFANTIL 1</v>
      </c>
      <c r="H32" s="40" t="str">
        <f>IFERROR(__xludf.dummyfunction("""COMPUTED_VALUE"""),"CEMEI PROFESSORA LINDOMAR DOMINGOS DA SILVA ANJOS")</f>
        <v>CEMEI PROFESSORA LINDOMAR DOMINGOS DA SILVA ANJOS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5.75" customHeight="1" spans="1:25">
      <c r="A33" s="36" t="str">
        <f t="shared" si="5"/>
        <v>REGIONAL 5</v>
      </c>
      <c r="B33" s="37" t="str">
        <f>IFERROR(__xludf.dummyfunction("""COMPUTED_VALUE"""),"28/01/2026 09:18:21")</f>
        <v>28/01/2026 09:18:21</v>
      </c>
      <c r="C33" s="38" t="str">
        <f>IFERROR(__xludf.dummyfunction("""COMPUTED_VALUE"""),"5")</f>
        <v>5</v>
      </c>
      <c r="D33" s="15" t="str">
        <f>IFERROR(__xludf.dummyfunction("""COMPUTED_VALUE"""),"H. F. M. D. S")</f>
        <v>H. F. M. D. S</v>
      </c>
      <c r="E33" s="39" t="str">
        <f>IFERROR(__xludf.dummyfunction("""COMPUTED_VALUE"""),"15/01/2025")</f>
        <v>15/01/2025</v>
      </c>
      <c r="F33" s="15" t="str">
        <f>IFERROR(__xludf.dummyfunction("""COMPUTED_VALUE"""),"005******11")</f>
        <v>005******11</v>
      </c>
      <c r="G33" s="15" t="str">
        <f>IFERROR(__xludf.dummyfunction("""COMPUTED_VALUE"""),"INFANTIL 1")</f>
        <v>INFANTIL 1</v>
      </c>
      <c r="H33" s="40" t="str">
        <f>IFERROR(__xludf.dummyfunction("""COMPUTED_VALUE"""),"CEMEI PROFESSORA LINDOMAR DOMINGOS DA SILVA ANJOS")</f>
        <v>CEMEI PROFESSORA LINDOMAR DOMINGOS DA SILVA ANJOS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5.75" customHeight="1" spans="1:25">
      <c r="A34" s="36" t="str">
        <f t="shared" si="5"/>
        <v>REGIONAL 5</v>
      </c>
      <c r="B34" s="37" t="str">
        <f>IFERROR(__xludf.dummyfunction("""COMPUTED_VALUE"""),"28/01/2026 09:33:11")</f>
        <v>28/01/2026 09:33:11</v>
      </c>
      <c r="C34" s="38" t="str">
        <f>IFERROR(__xludf.dummyfunction("""COMPUTED_VALUE"""),"6")</f>
        <v>6</v>
      </c>
      <c r="D34" s="15" t="str">
        <f>IFERROR(__xludf.dummyfunction("""COMPUTED_VALUE"""),"J. E. D. S")</f>
        <v>J. E. D. S</v>
      </c>
      <c r="E34" s="39" t="str">
        <f>IFERROR(__xludf.dummyfunction("""COMPUTED_VALUE"""),"23/06/2024")</f>
        <v>23/06/2024</v>
      </c>
      <c r="F34" s="15" t="str">
        <f>IFERROR(__xludf.dummyfunction("""COMPUTED_VALUE"""),"004******68")</f>
        <v>004******68</v>
      </c>
      <c r="G34" s="15" t="str">
        <f>IFERROR(__xludf.dummyfunction("""COMPUTED_VALUE"""),"INFANTIL 1")</f>
        <v>INFANTIL 1</v>
      </c>
      <c r="H34" s="40" t="str">
        <f>IFERROR(__xludf.dummyfunction("""COMPUTED_VALUE"""),"CEMEI PROFESSORA LINDOMAR DOMINGOS DA SILVA ANJOS")</f>
        <v>CEMEI PROFESSORA LINDOMAR DOMINGOS DA SILVA ANJOS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5.75" customHeight="1" spans="1:25">
      <c r="A35" s="36" t="str">
        <f t="shared" si="5"/>
        <v>REGIONAL 5</v>
      </c>
      <c r="B35" s="37" t="str">
        <f>IFERROR(__xludf.dummyfunction("""COMPUTED_VALUE"""),"28/01/2026 09:38:34")</f>
        <v>28/01/2026 09:38:34</v>
      </c>
      <c r="C35" s="38" t="str">
        <f>IFERROR(__xludf.dummyfunction("""COMPUTED_VALUE"""),"7")</f>
        <v>7</v>
      </c>
      <c r="D35" s="15" t="str">
        <f>IFERROR(__xludf.dummyfunction("""COMPUTED_VALUE"""),"A. G. F. S")</f>
        <v>A. G. F. S</v>
      </c>
      <c r="E35" s="39" t="str">
        <f>IFERROR(__xludf.dummyfunction("""COMPUTED_VALUE"""),"31/05/2024")</f>
        <v>31/05/2024</v>
      </c>
      <c r="F35" s="15" t="str">
        <f>IFERROR(__xludf.dummyfunction("""COMPUTED_VALUE"""),"003******24")</f>
        <v>003******24</v>
      </c>
      <c r="G35" s="15" t="str">
        <f>IFERROR(__xludf.dummyfunction("""COMPUTED_VALUE"""),"INFANTIL 1")</f>
        <v>INFANTIL 1</v>
      </c>
      <c r="H35" s="40" t="str">
        <f>IFERROR(__xludf.dummyfunction("""COMPUTED_VALUE"""),"CEMEI PROFESSORA LINDOMAR DOMINGOS DA SILVA ANJOS")</f>
        <v>CEMEI PROFESSORA LINDOMAR DOMINGOS DA SILVA ANJOS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5.75" customHeight="1" spans="1:25">
      <c r="A36" s="36" t="str">
        <f t="shared" si="5"/>
        <v>REGIONAL 5</v>
      </c>
      <c r="B36" s="37" t="str">
        <f>IFERROR(__xludf.dummyfunction("""COMPUTED_VALUE"""),"28/01/2026 10:45:36")</f>
        <v>28/01/2026 10:45:36</v>
      </c>
      <c r="C36" s="38" t="str">
        <f>IFERROR(__xludf.dummyfunction("""COMPUTED_VALUE"""),"8")</f>
        <v>8</v>
      </c>
      <c r="D36" s="15" t="str">
        <f>IFERROR(__xludf.dummyfunction("""COMPUTED_VALUE"""),"T. M. D. S")</f>
        <v>T. M. D. S</v>
      </c>
      <c r="E36" s="39" t="str">
        <f>IFERROR(__xludf.dummyfunction("""COMPUTED_VALUE"""),"25/11/2024")</f>
        <v>25/11/2024</v>
      </c>
      <c r="F36" s="15" t="str">
        <f>IFERROR(__xludf.dummyfunction("""COMPUTED_VALUE"""),"004******16")</f>
        <v>004******16</v>
      </c>
      <c r="G36" s="15" t="str">
        <f>IFERROR(__xludf.dummyfunction("""COMPUTED_VALUE"""),"INFANTIL 1")</f>
        <v>INFANTIL 1</v>
      </c>
      <c r="H36" s="40" t="str">
        <f>IFERROR(__xludf.dummyfunction("""COMPUTED_VALUE"""),"CEMEI PROFESSORA LINDOMAR DOMINGOS DA SILVA ANJOS")</f>
        <v>CEMEI PROFESSORA LINDOMAR DOMINGOS DA SILVA ANJOS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5.75" customHeight="1" spans="1:25">
      <c r="A37" s="36" t="str">
        <f t="shared" si="5"/>
        <v>REGIONAL 5</v>
      </c>
      <c r="B37" s="37" t="str">
        <f>IFERROR(__xludf.dummyfunction("""COMPUTED_VALUE"""),"28/01/2026 12:49:55")</f>
        <v>28/01/2026 12:49:55</v>
      </c>
      <c r="C37" s="38" t="str">
        <f>IFERROR(__xludf.dummyfunction("""COMPUTED_VALUE"""),"9")</f>
        <v>9</v>
      </c>
      <c r="D37" s="15" t="str">
        <f>IFERROR(__xludf.dummyfunction("""COMPUTED_VALUE"""),"K. C. F. S. D. S")</f>
        <v>K. C. F. S. D. S</v>
      </c>
      <c r="E37" s="39" t="str">
        <f>IFERROR(__xludf.dummyfunction("""COMPUTED_VALUE"""),"10/09/2024")</f>
        <v>10/09/2024</v>
      </c>
      <c r="F37" s="15" t="str">
        <f>IFERROR(__xludf.dummyfunction("""COMPUTED_VALUE"""),"004******30")</f>
        <v>004******30</v>
      </c>
      <c r="G37" s="15" t="str">
        <f>IFERROR(__xludf.dummyfunction("""COMPUTED_VALUE"""),"INFANTIL 1")</f>
        <v>INFANTIL 1</v>
      </c>
      <c r="H37" s="40" t="str">
        <f>IFERROR(__xludf.dummyfunction("""COMPUTED_VALUE"""),"CEMEI PROFESSORA LINDOMAR DOMINGOS DA SILVA ANJOS")</f>
        <v>CEMEI PROFESSORA LINDOMAR DOMINGOS DA SILVA ANJOS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5.75" customHeight="1" spans="1:25">
      <c r="A38" s="36" t="str">
        <f t="shared" si="5"/>
        <v>REGIONAL 5</v>
      </c>
      <c r="B38" s="37" t="str">
        <f>IFERROR(__xludf.dummyfunction("""COMPUTED_VALUE"""),"28/01/2026 20:34:21")</f>
        <v>28/01/2026 20:34:21</v>
      </c>
      <c r="C38" s="38" t="str">
        <f>IFERROR(__xludf.dummyfunction("""COMPUTED_VALUE"""),"10")</f>
        <v>10</v>
      </c>
      <c r="D38" s="15" t="str">
        <f>IFERROR(__xludf.dummyfunction("""COMPUTED_VALUE"""),"L. H. P. D. S")</f>
        <v>L. H. P. D. S</v>
      </c>
      <c r="E38" s="39" t="str">
        <f>IFERROR(__xludf.dummyfunction("""COMPUTED_VALUE"""),"01/04/2024")</f>
        <v>01/04/2024</v>
      </c>
      <c r="F38" s="15" t="str">
        <f>IFERROR(__xludf.dummyfunction("""COMPUTED_VALUE"""),"002******69")</f>
        <v>002******69</v>
      </c>
      <c r="G38" s="15" t="str">
        <f>IFERROR(__xludf.dummyfunction("""COMPUTED_VALUE"""),"INFANTIL 1")</f>
        <v>INFANTIL 1</v>
      </c>
      <c r="H38" s="40" t="str">
        <f>IFERROR(__xludf.dummyfunction("""COMPUTED_VALUE"""),"CEMEI PROFESSORA LINDOMAR DOMINGOS DA SILVA ANJOS")</f>
        <v>CEMEI PROFESSORA LINDOMAR DOMINGOS DA SILVA ANJOS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5.75" customHeight="1" spans="1:25">
      <c r="A39" s="36" t="str">
        <f t="shared" si="5"/>
        <v>REGIONAL 5</v>
      </c>
      <c r="B39" s="37" t="str">
        <f>IFERROR(__xludf.dummyfunction("""COMPUTED_VALUE"""),"06/02/2026 14:12:06")</f>
        <v>06/02/2026 14:12:06</v>
      </c>
      <c r="C39" s="38" t="str">
        <f>IFERROR(__xludf.dummyfunction("""COMPUTED_VALUE"""),"11")</f>
        <v>11</v>
      </c>
      <c r="D39" s="15" t="str">
        <f>IFERROR(__xludf.dummyfunction("""COMPUTED_VALUE"""),"V. M. D. S. F")</f>
        <v>V. M. D. S. F</v>
      </c>
      <c r="E39" s="39" t="str">
        <f>IFERROR(__xludf.dummyfunction("""COMPUTED_VALUE"""),"16/04/2024")</f>
        <v>16/04/2024</v>
      </c>
      <c r="F39" s="15" t="str">
        <f>IFERROR(__xludf.dummyfunction("""COMPUTED_VALUE"""),"003******09")</f>
        <v>003******09</v>
      </c>
      <c r="G39" s="15" t="str">
        <f>IFERROR(__xludf.dummyfunction("""COMPUTED_VALUE"""),"INFANTIL 1")</f>
        <v>INFANTIL 1</v>
      </c>
      <c r="H39" s="40" t="str">
        <f>IFERROR(__xludf.dummyfunction("""COMPUTED_VALUE"""),"CEMEI PROFESSORA LINDOMAR DOMINGOS DA SILVA ANJOS")</f>
        <v>CEMEI PROFESSORA LINDOMAR DOMINGOS DA SILVA ANJOS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5.75" customHeight="1" spans="1:25">
      <c r="A40" s="36" t="str">
        <f t="shared" si="5"/>
        <v>REGIONAL 5</v>
      </c>
      <c r="B40" s="37" t="str">
        <f>IFERROR(__xludf.dummyfunction("""COMPUTED_VALUE"""),"11/02/2026 09:26:12")</f>
        <v>11/02/2026 09:26:12</v>
      </c>
      <c r="C40" s="38" t="str">
        <f>IFERROR(__xludf.dummyfunction("""COMPUTED_VALUE"""),"12")</f>
        <v>12</v>
      </c>
      <c r="D40" s="15" t="str">
        <f>IFERROR(__xludf.dummyfunction("""COMPUTED_VALUE"""),"K. I. D. S. S")</f>
        <v>K. I. D. S. S</v>
      </c>
      <c r="E40" s="39" t="str">
        <f>IFERROR(__xludf.dummyfunction("""COMPUTED_VALUE"""),"13/09/2024")</f>
        <v>13/09/2024</v>
      </c>
      <c r="F40" s="15" t="str">
        <f>IFERROR(__xludf.dummyfunction("""COMPUTED_VALUE"""),"004******62")</f>
        <v>004******62</v>
      </c>
      <c r="G40" s="15" t="str">
        <f>IFERROR(__xludf.dummyfunction("""COMPUTED_VALUE"""),"INFANTIL 1")</f>
        <v>INFANTIL 1</v>
      </c>
      <c r="H40" s="40" t="str">
        <f>IFERROR(__xludf.dummyfunction("""COMPUTED_VALUE"""),"CEMEI PROFESSORA LINDOMAR DOMINGOS DA SILVA ANJOS")</f>
        <v>CEMEI PROFESSORA LINDOMAR DOMINGOS DA SILVA ANJOS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5.75" customHeight="1" spans="1:25">
      <c r="A41" s="36" t="str">
        <f t="shared" si="5"/>
        <v>REGIONAL 5</v>
      </c>
      <c r="B41" s="37" t="str">
        <f>IFERROR(__xludf.dummyfunction("""COMPUTED_VALUE"""),"26/02/2026 23:54:06")</f>
        <v>26/02/2026 23:54:06</v>
      </c>
      <c r="C41" s="38" t="str">
        <f>IFERROR(__xludf.dummyfunction("""COMPUTED_VALUE"""),"13")</f>
        <v>13</v>
      </c>
      <c r="D41" s="15" t="str">
        <f>IFERROR(__xludf.dummyfunction("""COMPUTED_VALUE"""),"A. M. D. S. R")</f>
        <v>A. M. D. S. R</v>
      </c>
      <c r="E41" s="39" t="str">
        <f>IFERROR(__xludf.dummyfunction("""COMPUTED_VALUE"""),"21/01/2025")</f>
        <v>21/01/2025</v>
      </c>
      <c r="F41" s="15" t="str">
        <f>IFERROR(__xludf.dummyfunction("""COMPUTED_VALUE"""),"005******50")</f>
        <v>005******50</v>
      </c>
      <c r="G41" s="15" t="str">
        <f>IFERROR(__xludf.dummyfunction("""COMPUTED_VALUE"""),"INFANTIL 1")</f>
        <v>INFANTIL 1</v>
      </c>
      <c r="H41" s="40" t="str">
        <f>IFERROR(__xludf.dummyfunction("""COMPUTED_VALUE"""),"CEMEI PROFESSORA LINDOMAR DOMINGOS DA SILVA ANJOS")</f>
        <v>CEMEI PROFESSORA LINDOMAR DOMINGOS DA SILVA ANJOS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5.75" customHeight="1" spans="1:25">
      <c r="A42" s="36" t="str">
        <f t="shared" si="5"/>
        <v>REGIONAL 5</v>
      </c>
      <c r="B42" s="37" t="str">
        <f>IFERROR(__xludf.dummyfunction("""COMPUTED_VALUE"""),"03/03/2026 13:59:55")</f>
        <v>03/03/2026 13:59:55</v>
      </c>
      <c r="C42" s="38" t="str">
        <f>IFERROR(__xludf.dummyfunction("""COMPUTED_VALUE"""),"14")</f>
        <v>14</v>
      </c>
      <c r="D42" s="15" t="str">
        <f>IFERROR(__xludf.dummyfunction("""COMPUTED_VALUE"""),"G. A. D. D. M")</f>
        <v>G. A. D. D. M</v>
      </c>
      <c r="E42" s="39" t="str">
        <f>IFERROR(__xludf.dummyfunction("""COMPUTED_VALUE"""),"05/04/2025")</f>
        <v>05/04/2025</v>
      </c>
      <c r="F42" s="15" t="str">
        <f>IFERROR(__xludf.dummyfunction("""COMPUTED_VALUE"""),"005******94")</f>
        <v>005******94</v>
      </c>
      <c r="G42" s="15" t="str">
        <f>IFERROR(__xludf.dummyfunction("""COMPUTED_VALUE"""),"INFANTIL 1")</f>
        <v>INFANTIL 1</v>
      </c>
      <c r="H42" s="40" t="str">
        <f>IFERROR(__xludf.dummyfunction("""COMPUTED_VALUE"""),"CEMEI PROFESSORA LINDOMAR DOMINGOS DA SILVA ANJOS")</f>
        <v>CEMEI PROFESSORA LINDOMAR DOMINGOS DA SILVA ANJOS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5.75" customHeight="1" spans="1:25">
      <c r="A43" s="36" t="str">
        <f t="shared" si="5"/>
        <v>REGIONAL 5</v>
      </c>
      <c r="B43" s="37" t="str">
        <f>IFERROR(__xludf.dummyfunction("""COMPUTED_VALUE"""),"04/03/2026 10:32:01")</f>
        <v>04/03/2026 10:32:01</v>
      </c>
      <c r="C43" s="38" t="str">
        <f>IFERROR(__xludf.dummyfunction("""COMPUTED_VALUE"""),"15")</f>
        <v>15</v>
      </c>
      <c r="D43" s="15" t="str">
        <f>IFERROR(__xludf.dummyfunction("""COMPUTED_VALUE"""),"N. D. M. D. S")</f>
        <v>N. D. M. D. S</v>
      </c>
      <c r="E43" s="39" t="str">
        <f>IFERROR(__xludf.dummyfunction("""COMPUTED_VALUE"""),"21/05/2025")</f>
        <v>21/05/2025</v>
      </c>
      <c r="F43" s="15" t="str">
        <f>IFERROR(__xludf.dummyfunction("""COMPUTED_VALUE"""),"006******45")</f>
        <v>006******45</v>
      </c>
      <c r="G43" s="15" t="str">
        <f>IFERROR(__xludf.dummyfunction("""COMPUTED_VALUE"""),"INFANTIL 1")</f>
        <v>INFANTIL 1</v>
      </c>
      <c r="H43" s="40" t="str">
        <f>IFERROR(__xludf.dummyfunction("""COMPUTED_VALUE"""),"CEMEI PROFESSORA LINDOMAR DOMINGOS DA SILVA ANJOS")</f>
        <v>CEMEI PROFESSORA LINDOMAR DOMINGOS DA SILVA ANJOS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5.75" customHeight="1" spans="1:25">
      <c r="A44" s="36" t="str">
        <f t="shared" si="5"/>
        <v>REGIONAL 5</v>
      </c>
      <c r="B44" s="37" t="str">
        <f>IFERROR(__xludf.dummyfunction("""COMPUTED_VALUE"""),"23/03/2026 12:35:29")</f>
        <v>23/03/2026 12:35:29</v>
      </c>
      <c r="C44" s="38" t="str">
        <f>IFERROR(__xludf.dummyfunction("""COMPUTED_VALUE"""),"16")</f>
        <v>16</v>
      </c>
      <c r="D44" s="15" t="str">
        <f>IFERROR(__xludf.dummyfunction("""COMPUTED_VALUE"""),"R. G. D. R. P")</f>
        <v>R. G. D. R. P</v>
      </c>
      <c r="E44" s="39" t="str">
        <f>IFERROR(__xludf.dummyfunction("""COMPUTED_VALUE"""),"07/11/2025")</f>
        <v>07/11/2025</v>
      </c>
      <c r="F44" s="15" t="str">
        <f>IFERROR(__xludf.dummyfunction("""COMPUTED_VALUE"""),"022******15")</f>
        <v>022******15</v>
      </c>
      <c r="G44" s="15" t="str">
        <f>IFERROR(__xludf.dummyfunction("""COMPUTED_VALUE"""),"INFANTIL 1")</f>
        <v>INFANTIL 1</v>
      </c>
      <c r="H44" s="40" t="str">
        <f>IFERROR(__xludf.dummyfunction("""COMPUTED_VALUE"""),"CEMEI PROFESSORA LINDOMAR DOMINGOS DA SILVA ANJOS")</f>
        <v>CEMEI PROFESSORA LINDOMAR DOMINGOS DA SILVA ANJOS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5.75" customHeight="1" spans="1:25">
      <c r="A45" s="36" t="str">
        <f t="shared" si="5"/>
        <v>REGIONAL 5</v>
      </c>
      <c r="B45" s="37" t="str">
        <f>IFERROR(__xludf.dummyfunction("""COMPUTED_VALUE"""),"30/03/2026 09:26:51")</f>
        <v>30/03/2026 09:26:51</v>
      </c>
      <c r="C45" s="38" t="str">
        <f>IFERROR(__xludf.dummyfunction("""COMPUTED_VALUE"""),"17")</f>
        <v>17</v>
      </c>
      <c r="D45" s="15" t="str">
        <f>IFERROR(__xludf.dummyfunction("""COMPUTED_VALUE"""),"F. C. M")</f>
        <v>F. C. M</v>
      </c>
      <c r="E45" s="39" t="str">
        <f>IFERROR(__xludf.dummyfunction("""COMPUTED_VALUE"""),"26/11/2025")</f>
        <v>26/11/2025</v>
      </c>
      <c r="F45" s="15" t="str">
        <f>IFERROR(__xludf.dummyfunction("""COMPUTED_VALUE"""),"027******72")</f>
        <v>027******72</v>
      </c>
      <c r="G45" s="15" t="str">
        <f>IFERROR(__xludf.dummyfunction("""COMPUTED_VALUE"""),"INFANTIL 1")</f>
        <v>INFANTIL 1</v>
      </c>
      <c r="H45" s="40" t="str">
        <f>IFERROR(__xludf.dummyfunction("""COMPUTED_VALUE"""),"CEMEI PROFESSORA LINDOMAR DOMINGOS DA SILVA ANJOS")</f>
        <v>CEMEI PROFESSORA LINDOMAR DOMINGOS DA SILVA ANJOS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5.75" customHeight="1" spans="1:25">
      <c r="A46" s="36" t="str">
        <f t="shared" si="5"/>
        <v>REGIONAL 5</v>
      </c>
      <c r="B46" s="37" t="str">
        <f>IFERROR(__xludf.dummyfunction("""COMPUTED_VALUE"""),"01/04/2026 11:07:18")</f>
        <v>01/04/2026 11:07:18</v>
      </c>
      <c r="C46" s="38" t="str">
        <f>IFERROR(__xludf.dummyfunction("""COMPUTED_VALUE"""),"18")</f>
        <v>18</v>
      </c>
      <c r="D46" s="15" t="str">
        <f>IFERROR(__xludf.dummyfunction("""COMPUTED_VALUE"""),"M. I. S. S")</f>
        <v>M. I. S. S</v>
      </c>
      <c r="E46" s="39" t="str">
        <f>IFERROR(__xludf.dummyfunction("""COMPUTED_VALUE"""),"03/09/2024")</f>
        <v>03/09/2024</v>
      </c>
      <c r="F46" s="15" t="str">
        <f>IFERROR(__xludf.dummyfunction("""COMPUTED_VALUE"""),"054******71")</f>
        <v>054******71</v>
      </c>
      <c r="G46" s="15" t="str">
        <f>IFERROR(__xludf.dummyfunction("""COMPUTED_VALUE"""),"INFANTIL 1")</f>
        <v>INFANTIL 1</v>
      </c>
      <c r="H46" s="40" t="str">
        <f>IFERROR(__xludf.dummyfunction("""COMPUTED_VALUE"""),"CEMEI PROFESSORA LINDOMAR DOMINGOS DA SILVA ANJOS")</f>
        <v>CEMEI PROFESSORA LINDOMAR DOMINGOS DA SILVA ANJOS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5.75" customHeight="1" spans="1:25">
      <c r="A47" s="36" t="str">
        <f t="shared" si="5"/>
        <v>REGIONAL 5</v>
      </c>
      <c r="B47" s="37" t="str">
        <f>IFERROR(__xludf.dummyfunction("""COMPUTED_VALUE"""),"08/04/2026 16:32:34")</f>
        <v>08/04/2026 16:32:34</v>
      </c>
      <c r="C47" s="38" t="str">
        <f>IFERROR(__xludf.dummyfunction("""COMPUTED_VALUE"""),"19")</f>
        <v>19</v>
      </c>
      <c r="D47" s="15" t="str">
        <f>IFERROR(__xludf.dummyfunction("""COMPUTED_VALUE"""),"M. B. M. A")</f>
        <v>M. B. M. A</v>
      </c>
      <c r="E47" s="39" t="str">
        <f>IFERROR(__xludf.dummyfunction("""COMPUTED_VALUE"""),"01/04/2025")</f>
        <v>01/04/2025</v>
      </c>
      <c r="F47" s="15" t="str">
        <f>IFERROR(__xludf.dummyfunction("""COMPUTED_VALUE"""),"005******85")</f>
        <v>005******85</v>
      </c>
      <c r="G47" s="15" t="str">
        <f>IFERROR(__xludf.dummyfunction("""COMPUTED_VALUE"""),"INFANTIL 1")</f>
        <v>INFANTIL 1</v>
      </c>
      <c r="H47" s="40" t="str">
        <f>IFERROR(__xludf.dummyfunction("""COMPUTED_VALUE"""),"CEMEI PROFESSORA LINDOMAR DOMINGOS DA SILVA ANJOS")</f>
        <v>CEMEI PROFESSORA LINDOMAR DOMINGOS DA SILVA ANJOS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5.75" customHeight="1" spans="1:25">
      <c r="A48" s="36" t="str">
        <f t="shared" si="5"/>
        <v>REGIONAL 5</v>
      </c>
      <c r="B48" s="37" t="str">
        <f>IFERROR(__xludf.dummyfunction("""COMPUTED_VALUE"""),"15/04/2026 13:07:53")</f>
        <v>15/04/2026 13:07:53</v>
      </c>
      <c r="C48" s="38" t="str">
        <f>IFERROR(__xludf.dummyfunction("""COMPUTED_VALUE"""),"20")</f>
        <v>20</v>
      </c>
      <c r="D48" s="15" t="str">
        <f>IFERROR(__xludf.dummyfunction("""COMPUTED_VALUE"""),"H. R. M")</f>
        <v>H. R. M</v>
      </c>
      <c r="E48" s="39" t="str">
        <f>IFERROR(__xludf.dummyfunction("""COMPUTED_VALUE"""),"30/08/2025")</f>
        <v>30/08/2025</v>
      </c>
      <c r="F48" s="15" t="str">
        <f>IFERROR(__xludf.dummyfunction("""COMPUTED_VALUE"""),"007******44")</f>
        <v>007******44</v>
      </c>
      <c r="G48" s="15" t="str">
        <f>IFERROR(__xludf.dummyfunction("""COMPUTED_VALUE"""),"INFANTIL 1")</f>
        <v>INFANTIL 1</v>
      </c>
      <c r="H48" s="40" t="str">
        <f>IFERROR(__xludf.dummyfunction("""COMPUTED_VALUE"""),"CEMEI PROFESSORA LINDOMAR DOMINGOS DA SILVA ANJOS")</f>
        <v>CEMEI PROFESSORA LINDOMAR DOMINGOS DA SILVA ANJOS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5.75" customHeight="1" spans="1:25">
      <c r="A49" s="36" t="str">
        <f t="shared" si="5"/>
        <v>REGIONAL 5</v>
      </c>
      <c r="B49" s="37" t="str">
        <f>IFERROR(__xludf.dummyfunction("""COMPUTED_VALUE"""),"04/05/2026 10:11:49")</f>
        <v>04/05/2026 10:11:49</v>
      </c>
      <c r="C49" s="38" t="str">
        <f>IFERROR(__xludf.dummyfunction("""COMPUTED_VALUE"""),"21")</f>
        <v>21</v>
      </c>
      <c r="D49" s="15" t="str">
        <f>IFERROR(__xludf.dummyfunction("""COMPUTED_VALUE"""),"M. A. D. A. E")</f>
        <v>M. A. D. A. E</v>
      </c>
      <c r="E49" s="39" t="str">
        <f>IFERROR(__xludf.dummyfunction("""COMPUTED_VALUE"""),"11/03/2025")</f>
        <v>11/03/2025</v>
      </c>
      <c r="F49" s="15" t="str">
        <f>IFERROR(__xludf.dummyfunction("""COMPUTED_VALUE"""),"005******59")</f>
        <v>005******59</v>
      </c>
      <c r="G49" s="15" t="str">
        <f>IFERROR(__xludf.dummyfunction("""COMPUTED_VALUE"""),"INFANTIL 1")</f>
        <v>INFANTIL 1</v>
      </c>
      <c r="H49" s="40" t="str">
        <f>IFERROR(__xludf.dummyfunction("""COMPUTED_VALUE"""),"CEMEI PROFESSORA LINDOMAR DOMINGOS DA SILVA ANJOS")</f>
        <v>CEMEI PROFESSORA LINDOMAR DOMINGOS DA SILVA ANJOS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5.75" customHeight="1" spans="1:25">
      <c r="A50" s="36" t="str">
        <f t="shared" si="5"/>
        <v>REGIONAL 5</v>
      </c>
      <c r="B50" s="37" t="str">
        <f>IFERROR(__xludf.dummyfunction("""COMPUTED_VALUE"""),"15/05/2026 11:54:29")</f>
        <v>15/05/2026 11:54:29</v>
      </c>
      <c r="C50" s="38" t="str">
        <f>IFERROR(__xludf.dummyfunction("""COMPUTED_VALUE"""),"22")</f>
        <v>22</v>
      </c>
      <c r="D50" s="15" t="str">
        <f>IFERROR(__xludf.dummyfunction("""COMPUTED_VALUE"""),"A. M. S. D. S")</f>
        <v>A. M. S. D. S</v>
      </c>
      <c r="E50" s="39" t="str">
        <f>IFERROR(__xludf.dummyfunction("""COMPUTED_VALUE"""),"10/09/2024")</f>
        <v>10/09/2024</v>
      </c>
      <c r="F50" s="15" t="str">
        <f>IFERROR(__xludf.dummyfunction("""COMPUTED_VALUE"""),"004******58")</f>
        <v>004******58</v>
      </c>
      <c r="G50" s="15" t="str">
        <f>IFERROR(__xludf.dummyfunction("""COMPUTED_VALUE"""),"INFANTIL 1")</f>
        <v>INFANTIL 1</v>
      </c>
      <c r="H50" s="40" t="str">
        <f>IFERROR(__xludf.dummyfunction("""COMPUTED_VALUE"""),"CEMEI PROFESSORA LINDOMAR DOMINGOS DA SILVA ANJOS")</f>
        <v>CEMEI PROFESSORA LINDOMAR DOMINGOS DA SILVA ANJOS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5.75" customHeight="1" spans="1:25">
      <c r="A51" s="36" t="str">
        <f t="shared" si="5"/>
        <v>REGIONAL 5</v>
      </c>
      <c r="B51" s="37" t="str">
        <f>IFERROR(__xludf.dummyfunction("""COMPUTED_VALUE"""),"15/05/2026 12:03:27")</f>
        <v>15/05/2026 12:03:27</v>
      </c>
      <c r="C51" s="38" t="str">
        <f>IFERROR(__xludf.dummyfunction("""COMPUTED_VALUE"""),"23")</f>
        <v>23</v>
      </c>
      <c r="D51" s="15" t="str">
        <f>IFERROR(__xludf.dummyfunction("""COMPUTED_VALUE"""),"A. K. S. D. S")</f>
        <v>A. K. S. D. S</v>
      </c>
      <c r="E51" s="39" t="str">
        <f>IFERROR(__xludf.dummyfunction("""COMPUTED_VALUE"""),"10/09/2024")</f>
        <v>10/09/2024</v>
      </c>
      <c r="F51" s="15" t="str">
        <f>IFERROR(__xludf.dummyfunction("""COMPUTED_VALUE"""),"004******02")</f>
        <v>004******02</v>
      </c>
      <c r="G51" s="15" t="str">
        <f>IFERROR(__xludf.dummyfunction("""COMPUTED_VALUE"""),"INFANTIL 1")</f>
        <v>INFANTIL 1</v>
      </c>
      <c r="H51" s="40" t="str">
        <f>IFERROR(__xludf.dummyfunction("""COMPUTED_VALUE"""),"CEMEI PROFESSORA LINDOMAR DOMINGOS DA SILVA ANJOS")</f>
        <v>CEMEI PROFESSORA LINDOMAR DOMINGOS DA SILVA ANJOS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5.75" customHeight="1" spans="1:25">
      <c r="A52" s="36" t="str">
        <f t="shared" si="5"/>
        <v>REGIONAL 5</v>
      </c>
      <c r="B52" s="37" t="str">
        <f>IFERROR(__xludf.dummyfunction("""COMPUTED_VALUE"""),"30/05/2026 11:24:31")</f>
        <v>30/05/2026 11:24:31</v>
      </c>
      <c r="C52" s="38" t="str">
        <f>IFERROR(__xludf.dummyfunction("""COMPUTED_VALUE"""),"24")</f>
        <v>24</v>
      </c>
      <c r="D52" s="15" t="str">
        <f>IFERROR(__xludf.dummyfunction("""COMPUTED_VALUE"""),"N. R. F. d. S")</f>
        <v>N. R. F. d. S</v>
      </c>
      <c r="E52" s="39" t="str">
        <f>IFERROR(__xludf.dummyfunction("""COMPUTED_VALUE"""),"10/10/2024")</f>
        <v>10/10/2024</v>
      </c>
      <c r="F52" s="15" t="str">
        <f>IFERROR(__xludf.dummyfunction("""COMPUTED_VALUE"""),"004******85")</f>
        <v>004******85</v>
      </c>
      <c r="G52" s="15" t="str">
        <f>IFERROR(__xludf.dummyfunction("""COMPUTED_VALUE"""),"INFANTIL 1")</f>
        <v>INFANTIL 1</v>
      </c>
      <c r="H52" s="40" t="str">
        <f>IFERROR(__xludf.dummyfunction("""COMPUTED_VALUE"""),"CEMEI PROFESSORA LINDOMAR DOMINGOS DA SILVA ANJOS")</f>
        <v>CEMEI PROFESSORA LINDOMAR DOMINGOS DA SILVA ANJOS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5.75" customHeight="1" spans="1:25">
      <c r="A53" s="36" t="str">
        <f t="shared" si="5"/>
        <v>REGIONAL 5</v>
      </c>
      <c r="B53" s="37" t="str">
        <f>IFERROR(__xludf.dummyfunction("""COMPUTED_VALUE"""),"01/06/2026 13:25:04")</f>
        <v>01/06/2026 13:25:04</v>
      </c>
      <c r="C53" s="38" t="str">
        <f>IFERROR(__xludf.dummyfunction("""COMPUTED_VALUE"""),"25")</f>
        <v>25</v>
      </c>
      <c r="D53" s="15" t="str">
        <f>IFERROR(__xludf.dummyfunction("""COMPUTED_VALUE"""),"A. l. F. l")</f>
        <v>A. l. F. l</v>
      </c>
      <c r="E53" s="39" t="str">
        <f>IFERROR(__xludf.dummyfunction("""COMPUTED_VALUE"""),"02/09/2024")</f>
        <v>02/09/2024</v>
      </c>
      <c r="F53" s="15" t="str">
        <f>IFERROR(__xludf.dummyfunction("""COMPUTED_VALUE"""),"004******03")</f>
        <v>004******03</v>
      </c>
      <c r="G53" s="15" t="str">
        <f>IFERROR(__xludf.dummyfunction("""COMPUTED_VALUE"""),"INFANTIL 1")</f>
        <v>INFANTIL 1</v>
      </c>
      <c r="H53" s="40" t="str">
        <f>IFERROR(__xludf.dummyfunction("""COMPUTED_VALUE"""),"CEMEI PROFESSORA LINDOMAR DOMINGOS DA SILVA ANJOS")</f>
        <v>CEMEI PROFESSORA LINDOMAR DOMINGOS DA SILVA ANJOS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5.75" customHeight="1" spans="1:25">
      <c r="A54" s="36" t="str">
        <f t="shared" si="5"/>
        <v>REGIONAL 5</v>
      </c>
      <c r="B54" s="37" t="str">
        <f>IFERROR(__xludf.dummyfunction("""COMPUTED_VALUE"""),"04/06/2026 10:58:04")</f>
        <v>04/06/2026 10:58:04</v>
      </c>
      <c r="C54" s="38" t="str">
        <f>IFERROR(__xludf.dummyfunction("""COMPUTED_VALUE"""),"26")</f>
        <v>26</v>
      </c>
      <c r="D54" s="15" t="str">
        <f>IFERROR(__xludf.dummyfunction("""COMPUTED_VALUE"""),"T. J. C. M. d. S")</f>
        <v>T. J. C. M. d. S</v>
      </c>
      <c r="E54" s="39" t="str">
        <f>IFERROR(__xludf.dummyfunction("""COMPUTED_VALUE"""),"28/04/2024")</f>
        <v>28/04/2024</v>
      </c>
      <c r="F54" s="15" t="str">
        <f>IFERROR(__xludf.dummyfunction("""COMPUTED_VALUE"""),"002******29")</f>
        <v>002******29</v>
      </c>
      <c r="G54" s="15" t="str">
        <f>IFERROR(__xludf.dummyfunction("""COMPUTED_VALUE"""),"INFANTIL 1")</f>
        <v>INFANTIL 1</v>
      </c>
      <c r="H54" s="40" t="str">
        <f>IFERROR(__xludf.dummyfunction("""COMPUTED_VALUE"""),"CEMEI PROFESSORA LINDOMAR DOMINGOS DA SILVA ANJOS")</f>
        <v>CEMEI PROFESSORA LINDOMAR DOMINGOS DA SILVA ANJOS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5.75" customHeight="1" spans="1:25">
      <c r="A55" s="36" t="str">
        <f t="shared" si="5"/>
        <v>REGIONAL 5</v>
      </c>
      <c r="B55" s="37" t="str">
        <f>IFERROR(__xludf.dummyfunction("""COMPUTED_VALUE"""),"10/06/2026 09:48:38")</f>
        <v>10/06/2026 09:48:38</v>
      </c>
      <c r="C55" s="38" t="str">
        <f>IFERROR(__xludf.dummyfunction("""COMPUTED_VALUE"""),"27")</f>
        <v>27</v>
      </c>
      <c r="D55" s="15" t="str">
        <f>IFERROR(__xludf.dummyfunction("""COMPUTED_VALUE"""),"T. G. V. D. S")</f>
        <v>T. G. V. D. S</v>
      </c>
      <c r="E55" s="39" t="str">
        <f>IFERROR(__xludf.dummyfunction("""COMPUTED_VALUE"""),"22/01/2025")</f>
        <v>22/01/2025</v>
      </c>
      <c r="F55" s="15" t="str">
        <f>IFERROR(__xludf.dummyfunction("""COMPUTED_VALUE"""),"005******35")</f>
        <v>005******35</v>
      </c>
      <c r="G55" s="15" t="str">
        <f>IFERROR(__xludf.dummyfunction("""COMPUTED_VALUE"""),"INFANTIL 1")</f>
        <v>INFANTIL 1</v>
      </c>
      <c r="H55" s="40" t="str">
        <f>IFERROR(__xludf.dummyfunction("""COMPUTED_VALUE"""),"CEMEI PROFESSORA LINDOMAR DOMINGOS DA SILVA ANJOS")</f>
        <v>CEMEI PROFESSORA LINDOMAR DOMINGOS DA SILVA ANJOS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5.75" customHeight="1" spans="1:25">
      <c r="A56" s="36" t="str">
        <f t="shared" si="5"/>
        <v>REGIONAL 5</v>
      </c>
      <c r="B56" s="37" t="str">
        <f>IFERROR(__xludf.dummyfunction("""COMPUTED_VALUE"""),"22/07/2026 11:43:16")</f>
        <v>22/07/2026 11:43:16</v>
      </c>
      <c r="C56" s="38" t="str">
        <f>IFERROR(__xludf.dummyfunction("""COMPUTED_VALUE"""),"28")</f>
        <v>28</v>
      </c>
      <c r="D56" s="15" t="str">
        <f>IFERROR(__xludf.dummyfunction("""COMPUTED_VALUE"""),"A. L. L. D. S")</f>
        <v>A. L. L. D. S</v>
      </c>
      <c r="E56" s="39" t="str">
        <f>IFERROR(__xludf.dummyfunction("""COMPUTED_VALUE"""),"24/10/2024")</f>
        <v>24/10/2024</v>
      </c>
      <c r="F56" s="15" t="str">
        <f>IFERROR(__xludf.dummyfunction("""COMPUTED_VALUE"""),"004******63")</f>
        <v>004******63</v>
      </c>
      <c r="G56" s="15" t="str">
        <f>IFERROR(__xludf.dummyfunction("""COMPUTED_VALUE"""),"INFANTIL 1")</f>
        <v>INFANTIL 1</v>
      </c>
      <c r="H56" s="40" t="str">
        <f>IFERROR(__xludf.dummyfunction("""COMPUTED_VALUE"""),"CEMEI PROFESSORA LINDOMAR DOMINGOS DA SILVA ANJOS")</f>
        <v>CEMEI PROFESSORA LINDOMAR DOMINGOS DA SILVA ANJOS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5.75" customHeight="1" spans="1:25">
      <c r="A57" s="36" t="str">
        <f t="shared" si="5"/>
        <v>REGIONAL 5</v>
      </c>
      <c r="B57" s="37" t="str">
        <f>IFERROR(__xludf.dummyfunction("""COMPUTED_VALUE"""),"23/07/2026 14:13:37")</f>
        <v>23/07/2026 14:13:37</v>
      </c>
      <c r="C57" s="38" t="str">
        <f>IFERROR(__xludf.dummyfunction("""COMPUTED_VALUE"""),"29")</f>
        <v>29</v>
      </c>
      <c r="D57" s="15" t="str">
        <f>IFERROR(__xludf.dummyfunction("""COMPUTED_VALUE"""),"O. B. L. N")</f>
        <v>O. B. L. N</v>
      </c>
      <c r="E57" s="39" t="str">
        <f>IFERROR(__xludf.dummyfunction("""COMPUTED_VALUE"""),"10/10/2025")</f>
        <v>10/10/2025</v>
      </c>
      <c r="F57" s="15" t="str">
        <f>IFERROR(__xludf.dummyfunction("""COMPUTED_VALUE"""),"015******68")</f>
        <v>015******68</v>
      </c>
      <c r="G57" s="15" t="str">
        <f>IFERROR(__xludf.dummyfunction("""COMPUTED_VALUE"""),"INFANTIL 1")</f>
        <v>INFANTIL 1</v>
      </c>
      <c r="H57" s="40" t="str">
        <f>IFERROR(__xludf.dummyfunction("""COMPUTED_VALUE"""),"CEMEI PROFESSORA LINDOMAR DOMINGOS DA SILVA ANJOS")</f>
        <v>CEMEI PROFESSORA LINDOMAR DOMINGOS DA SILVA ANJOS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5.75" customHeight="1" spans="1:25">
      <c r="A58" s="36" t="str">
        <f t="shared" si="5"/>
        <v>REGIONAL 5</v>
      </c>
      <c r="B58" s="37" t="str">
        <f>IFERROR(__xludf.dummyfunction("""COMPUTED_VALUE"""),"07/08/2026 11:03:06")</f>
        <v>07/08/2026 11:03:06</v>
      </c>
      <c r="C58" s="38" t="str">
        <f>IFERROR(__xludf.dummyfunction("""COMPUTED_VALUE"""),"30")</f>
        <v>30</v>
      </c>
      <c r="D58" s="15" t="str">
        <f>IFERROR(__xludf.dummyfunction("""COMPUTED_VALUE"""),"A. M. L")</f>
        <v>A. M. L</v>
      </c>
      <c r="E58" s="39" t="str">
        <f>IFERROR(__xludf.dummyfunction("""COMPUTED_VALUE"""),"10/09/2025")</f>
        <v>10/09/2025</v>
      </c>
      <c r="F58" s="15" t="str">
        <f>IFERROR(__xludf.dummyfunction("""COMPUTED_VALUE"""),"007******10")</f>
        <v>007******10</v>
      </c>
      <c r="G58" s="15" t="str">
        <f>IFERROR(__xludf.dummyfunction("""COMPUTED_VALUE"""),"INFANTIL 1")</f>
        <v>INFANTIL 1</v>
      </c>
      <c r="H58" s="40" t="str">
        <f>IFERROR(__xludf.dummyfunction("""COMPUTED_VALUE"""),"CEMEI PROFESSORA LINDOMAR DOMINGOS DA SILVA ANJOS")</f>
        <v>CEMEI PROFESSORA LINDOMAR DOMINGOS DA SILVA ANJOS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5.75" customHeight="1" spans="1:25">
      <c r="A59" s="36" t="str">
        <f t="shared" si="5"/>
        <v>REGIONAL 5</v>
      </c>
      <c r="B59" s="37" t="str">
        <f>IFERROR(__xludf.dummyfunction("""COMPUTED_VALUE"""),"26/08/2026 12:19:22")</f>
        <v>26/08/2026 12:19:22</v>
      </c>
      <c r="C59" s="38" t="str">
        <f>IFERROR(__xludf.dummyfunction("""COMPUTED_VALUE"""),"31")</f>
        <v>31</v>
      </c>
      <c r="D59" s="15" t="str">
        <f>IFERROR(__xludf.dummyfunction("""COMPUTED_VALUE"""),"K. M. C. d. S")</f>
        <v>K. M. C. d. S</v>
      </c>
      <c r="E59" s="39" t="str">
        <f>IFERROR(__xludf.dummyfunction("""COMPUTED_VALUE"""),"24/02/2025")</f>
        <v>24/02/2025</v>
      </c>
      <c r="F59" s="15" t="str">
        <f>IFERROR(__xludf.dummyfunction("""COMPUTED_VALUE"""),"071******50")</f>
        <v>071******50</v>
      </c>
      <c r="G59" s="15" t="str">
        <f>IFERROR(__xludf.dummyfunction("""COMPUTED_VALUE"""),"INFANTIL 1")</f>
        <v>INFANTIL 1</v>
      </c>
      <c r="H59" s="40" t="str">
        <f>IFERROR(__xludf.dummyfunction("""COMPUTED_VALUE"""),"CEMEI PROFESSORA LINDOMAR DOMINGOS DA SILVA ANJOS")</f>
        <v>CEMEI PROFESSORA LINDOMAR DOMINGOS DA SILVA ANJOS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5.75" customHeight="1" spans="1:25">
      <c r="A60" s="36" t="str">
        <f t="shared" si="5"/>
        <v>REGIONAL 5</v>
      </c>
      <c r="B60" s="37" t="str">
        <f>IFERROR(__xludf.dummyfunction("""COMPUTED_VALUE"""),"17/09/2026 11:58:57")</f>
        <v>17/09/2026 11:58:57</v>
      </c>
      <c r="C60" s="38" t="str">
        <f>IFERROR(__xludf.dummyfunction("""COMPUTED_VALUE"""),"32")</f>
        <v>32</v>
      </c>
      <c r="D60" s="15" t="str">
        <f>IFERROR(__xludf.dummyfunction("""COMPUTED_VALUE"""),"L. W. d. s")</f>
        <v>L. W. d. s</v>
      </c>
      <c r="E60" s="39" t="str">
        <f>IFERROR(__xludf.dummyfunction("""COMPUTED_VALUE"""),"14/12/2024")</f>
        <v>14/12/2024</v>
      </c>
      <c r="F60" s="15" t="str">
        <f>IFERROR(__xludf.dummyfunction("""COMPUTED_VALUE"""),"004******78")</f>
        <v>004******78</v>
      </c>
      <c r="G60" s="15" t="str">
        <f>IFERROR(__xludf.dummyfunction("""COMPUTED_VALUE"""),"INFANTIL 1")</f>
        <v>INFANTIL 1</v>
      </c>
      <c r="H60" s="40" t="str">
        <f>IFERROR(__xludf.dummyfunction("""COMPUTED_VALUE"""),"CEMEI PROFESSORA LINDOMAR DOMINGOS DA SILVA ANJOS")</f>
        <v>CEMEI PROFESSORA LINDOMAR DOMINGOS DA SILVA ANJOS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5.75" customHeight="1" spans="1:25">
      <c r="A61" s="36" t="str">
        <f t="shared" si="5"/>
        <v>REGIONAL 5</v>
      </c>
      <c r="B61" s="37" t="str">
        <f>IFERROR(__xludf.dummyfunction("""COMPUTED_VALUE"""),"23/09/2026 11:12:15")</f>
        <v>23/09/2026 11:12:15</v>
      </c>
      <c r="C61" s="38" t="str">
        <f>IFERROR(__xludf.dummyfunction("""COMPUTED_VALUE"""),"33")</f>
        <v>33</v>
      </c>
      <c r="D61" s="15" t="str">
        <f>IFERROR(__xludf.dummyfunction("""COMPUTED_VALUE"""),"G. d. O. C")</f>
        <v>G. d. O. C</v>
      </c>
      <c r="E61" s="39" t="str">
        <f>IFERROR(__xludf.dummyfunction("""COMPUTED_VALUE"""),"03/04/2024")</f>
        <v>03/04/2024</v>
      </c>
      <c r="F61" s="15" t="str">
        <f>IFERROR(__xludf.dummyfunction("""COMPUTED_VALUE"""),"007******96")</f>
        <v>007******96</v>
      </c>
      <c r="G61" s="15" t="str">
        <f>IFERROR(__xludf.dummyfunction("""COMPUTED_VALUE"""),"INFANTIL 1")</f>
        <v>INFANTIL 1</v>
      </c>
      <c r="H61" s="40" t="str">
        <f>IFERROR(__xludf.dummyfunction("""COMPUTED_VALUE"""),"CEMEI PROFESSORA LINDOMAR DOMINGOS DA SILVA ANJOS")</f>
        <v>CEMEI PROFESSORA LINDOMAR DOMINGOS DA SILVA ANJOS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5.75" customHeight="1" spans="1:25">
      <c r="A62" s="36" t="str">
        <f t="shared" si="5"/>
        <v>REGIONAL 5</v>
      </c>
      <c r="B62" s="37" t="str">
        <f>IFERROR(__xludf.dummyfunction("""COMPUTED_VALUE"""),"28/01/2026 08:06:54")</f>
        <v>28/01/2026 08:06:54</v>
      </c>
      <c r="C62" s="38" t="str">
        <f>IFERROR(__xludf.dummyfunction("""COMPUTED_VALUE"""),"1")</f>
        <v>1</v>
      </c>
      <c r="D62" s="15" t="str">
        <f>IFERROR(__xludf.dummyfunction("""COMPUTED_VALUE"""),"A. M. F. L")</f>
        <v>A. M. F. L</v>
      </c>
      <c r="E62" s="39" t="str">
        <f>IFERROR(__xludf.dummyfunction("""COMPUTED_VALUE"""),"06/04/2023")</f>
        <v>06/04/2023</v>
      </c>
      <c r="F62" s="15" t="str">
        <f>IFERROR(__xludf.dummyfunction("""COMPUTED_VALUE"""),"185******07")</f>
        <v>185******07</v>
      </c>
      <c r="G62" s="15" t="str">
        <f>IFERROR(__xludf.dummyfunction("""COMPUTED_VALUE"""),"INFANTIL 2")</f>
        <v>INFANTIL 2</v>
      </c>
      <c r="H62" s="40" t="str">
        <f>IFERROR(__xludf.dummyfunction("""COMPUTED_VALUE"""),"CEMEI PROFESSORA LINDOMAR DOMINGOS DA SILVA ANJOS")</f>
        <v>CEMEI PROFESSORA LINDOMAR DOMINGOS DA SILVA ANJOS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5.75" customHeight="1" spans="1:25">
      <c r="A63" s="36" t="str">
        <f t="shared" si="5"/>
        <v>REGIONAL 5</v>
      </c>
      <c r="B63" s="37" t="str">
        <f>IFERROR(__xludf.dummyfunction("""COMPUTED_VALUE"""),"28/01/2026 08:08:24")</f>
        <v>28/01/2026 08:08:24</v>
      </c>
      <c r="C63" s="38" t="str">
        <f>IFERROR(__xludf.dummyfunction("""COMPUTED_VALUE"""),"2")</f>
        <v>2</v>
      </c>
      <c r="D63" s="15" t="str">
        <f>IFERROR(__xludf.dummyfunction("""COMPUTED_VALUE"""),"M. O. F. C")</f>
        <v>M. O. F. C</v>
      </c>
      <c r="E63" s="39" t="str">
        <f>IFERROR(__xludf.dummyfunction("""COMPUTED_VALUE"""),"23/07/2023")</f>
        <v>23/07/2023</v>
      </c>
      <c r="F63" s="15" t="str">
        <f>IFERROR(__xludf.dummyfunction("""COMPUTED_VALUE"""),"186******04")</f>
        <v>186******04</v>
      </c>
      <c r="G63" s="15" t="str">
        <f>IFERROR(__xludf.dummyfunction("""COMPUTED_VALUE"""),"INFANTIL 2")</f>
        <v>INFANTIL 2</v>
      </c>
      <c r="H63" s="40" t="str">
        <f>IFERROR(__xludf.dummyfunction("""COMPUTED_VALUE"""),"CEMEI PROFESSORA LINDOMAR DOMINGOS DA SILVA ANJOS")</f>
        <v>CEMEI PROFESSORA LINDOMAR DOMINGOS DA SILVA ANJOS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5.75" customHeight="1" spans="1:25">
      <c r="A64" s="36" t="str">
        <f t="shared" si="5"/>
        <v>REGIONAL 5</v>
      </c>
      <c r="B64" s="37" t="str">
        <f>IFERROR(__xludf.dummyfunction("""COMPUTED_VALUE"""),"28/01/2026 08:14:44")</f>
        <v>28/01/2026 08:14:44</v>
      </c>
      <c r="C64" s="38" t="str">
        <f>IFERROR(__xludf.dummyfunction("""COMPUTED_VALUE"""),"3")</f>
        <v>3</v>
      </c>
      <c r="D64" s="15" t="str">
        <f>IFERROR(__xludf.dummyfunction("""COMPUTED_VALUE"""),"S. B. C. R. D. S")</f>
        <v>S. B. C. R. D. S</v>
      </c>
      <c r="E64" s="39" t="str">
        <f>IFERROR(__xludf.dummyfunction("""COMPUTED_VALUE"""),"07/06/2023")</f>
        <v>07/06/2023</v>
      </c>
      <c r="F64" s="15" t="str">
        <f>IFERROR(__xludf.dummyfunction("""COMPUTED_VALUE"""),"185******06")</f>
        <v>185******06</v>
      </c>
      <c r="G64" s="15" t="str">
        <f>IFERROR(__xludf.dummyfunction("""COMPUTED_VALUE"""),"INFANTIL 2")</f>
        <v>INFANTIL 2</v>
      </c>
      <c r="H64" s="40" t="str">
        <f>IFERROR(__xludf.dummyfunction("""COMPUTED_VALUE"""),"CEMEI PROFESSORA LINDOMAR DOMINGOS DA SILVA ANJOS")</f>
        <v>CEMEI PROFESSORA LINDOMAR DOMINGOS DA SILVA ANJOS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5.75" customHeight="1" spans="1:25">
      <c r="A65" s="36" t="str">
        <f t="shared" si="5"/>
        <v>REGIONAL 5</v>
      </c>
      <c r="B65" s="37" t="str">
        <f>IFERROR(__xludf.dummyfunction("""COMPUTED_VALUE"""),"28/01/2026 08:17:19")</f>
        <v>28/01/2026 08:17:19</v>
      </c>
      <c r="C65" s="38" t="str">
        <f>IFERROR(__xludf.dummyfunction("""COMPUTED_VALUE"""),"4")</f>
        <v>4</v>
      </c>
      <c r="D65" s="15" t="str">
        <f>IFERROR(__xludf.dummyfunction("""COMPUTED_VALUE"""),"L. M. T. S")</f>
        <v>L. M. T. S</v>
      </c>
      <c r="E65" s="39" t="str">
        <f>IFERROR(__xludf.dummyfunction("""COMPUTED_VALUE"""),"18/02/2024")</f>
        <v>18/02/2024</v>
      </c>
      <c r="F65" s="15" t="str">
        <f>IFERROR(__xludf.dummyfunction("""COMPUTED_VALUE"""),"002******11")</f>
        <v>002******11</v>
      </c>
      <c r="G65" s="15" t="str">
        <f>IFERROR(__xludf.dummyfunction("""COMPUTED_VALUE"""),"INFANTIL 2")</f>
        <v>INFANTIL 2</v>
      </c>
      <c r="H65" s="40" t="str">
        <f>IFERROR(__xludf.dummyfunction("""COMPUTED_VALUE"""),"CEMEI PROFESSORA LINDOMAR DOMINGOS DA SILVA ANJOS")</f>
        <v>CEMEI PROFESSORA LINDOMAR DOMINGOS DA SILVA ANJOS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5.75" customHeight="1" spans="1:25">
      <c r="A66" s="36" t="str">
        <f t="shared" si="5"/>
        <v>REGIONAL 5</v>
      </c>
      <c r="B66" s="37" t="str">
        <f>IFERROR(__xludf.dummyfunction("""COMPUTED_VALUE"""),"28/01/2026 08:25:56")</f>
        <v>28/01/2026 08:25:56</v>
      </c>
      <c r="C66" s="38" t="str">
        <f>IFERROR(__xludf.dummyfunction("""COMPUTED_VALUE"""),"5")</f>
        <v>5</v>
      </c>
      <c r="D66" s="15" t="str">
        <f>IFERROR(__xludf.dummyfunction("""COMPUTED_VALUE"""),"M. G. D. S. P. A")</f>
        <v>M. G. D. S. P. A</v>
      </c>
      <c r="E66" s="39" t="str">
        <f>IFERROR(__xludf.dummyfunction("""COMPUTED_VALUE"""),"15/05/2023")</f>
        <v>15/05/2023</v>
      </c>
      <c r="F66" s="15" t="str">
        <f>IFERROR(__xludf.dummyfunction("""COMPUTED_VALUE"""),"185******33")</f>
        <v>185******33</v>
      </c>
      <c r="G66" s="15" t="str">
        <f>IFERROR(__xludf.dummyfunction("""COMPUTED_VALUE"""),"INFANTIL 2")</f>
        <v>INFANTIL 2</v>
      </c>
      <c r="H66" s="40" t="str">
        <f>IFERROR(__xludf.dummyfunction("""COMPUTED_VALUE"""),"CEMEI PROFESSORA LINDOMAR DOMINGOS DA SILVA ANJOS")</f>
        <v>CEMEI PROFESSORA LINDOMAR DOMINGOS DA SILVA ANJOS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5.75" customHeight="1" spans="1:25">
      <c r="A67" s="36" t="str">
        <f t="shared" si="5"/>
        <v>REGIONAL 5</v>
      </c>
      <c r="B67" s="37" t="str">
        <f>IFERROR(__xludf.dummyfunction("""COMPUTED_VALUE"""),"28/01/2026 08:25:59")</f>
        <v>28/01/2026 08:25:59</v>
      </c>
      <c r="C67" s="38" t="str">
        <f>IFERROR(__xludf.dummyfunction("""COMPUTED_VALUE"""),"6")</f>
        <v>6</v>
      </c>
      <c r="D67" s="15" t="str">
        <f>IFERROR(__xludf.dummyfunction("""COMPUTED_VALUE"""),"E. B. S")</f>
        <v>E. B. S</v>
      </c>
      <c r="E67" s="39" t="str">
        <f>IFERROR(__xludf.dummyfunction("""COMPUTED_VALUE"""),"12/12/2023")</f>
        <v>12/12/2023</v>
      </c>
      <c r="F67" s="15" t="str">
        <f>IFERROR(__xludf.dummyfunction("""COMPUTED_VALUE"""),"002******25")</f>
        <v>002******25</v>
      </c>
      <c r="G67" s="15" t="str">
        <f>IFERROR(__xludf.dummyfunction("""COMPUTED_VALUE"""),"INFANTIL 2")</f>
        <v>INFANTIL 2</v>
      </c>
      <c r="H67" s="40" t="str">
        <f>IFERROR(__xludf.dummyfunction("""COMPUTED_VALUE"""),"CEMEI PROFESSORA LINDOMAR DOMINGOS DA SILVA ANJOS")</f>
        <v>CEMEI PROFESSORA LINDOMAR DOMINGOS DA SILVA ANJOS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5.75" customHeight="1" spans="1:25">
      <c r="A68" s="36" t="str">
        <f t="shared" si="5"/>
        <v>REGIONAL 5</v>
      </c>
      <c r="B68" s="37" t="str">
        <f>IFERROR(__xludf.dummyfunction("""COMPUTED_VALUE"""),"28/01/2026 08:31:41")</f>
        <v>28/01/2026 08:31:41</v>
      </c>
      <c r="C68" s="38" t="str">
        <f>IFERROR(__xludf.dummyfunction("""COMPUTED_VALUE"""),"7")</f>
        <v>7</v>
      </c>
      <c r="D68" s="15" t="str">
        <f>IFERROR(__xludf.dummyfunction("""COMPUTED_VALUE"""),"L. M. S. L")</f>
        <v>L. M. S. L</v>
      </c>
      <c r="E68" s="39" t="str">
        <f>IFERROR(__xludf.dummyfunction("""COMPUTED_VALUE"""),"25/01/2024")</f>
        <v>25/01/2024</v>
      </c>
      <c r="F68" s="15" t="str">
        <f>IFERROR(__xludf.dummyfunction("""COMPUTED_VALUE"""),"001******03")</f>
        <v>001******03</v>
      </c>
      <c r="G68" s="15" t="str">
        <f>IFERROR(__xludf.dummyfunction("""COMPUTED_VALUE"""),"INFANTIL 2")</f>
        <v>INFANTIL 2</v>
      </c>
      <c r="H68" s="40" t="str">
        <f>IFERROR(__xludf.dummyfunction("""COMPUTED_VALUE"""),"CEMEI PROFESSORA LINDOMAR DOMINGOS DA SILVA ANJOS")</f>
        <v>CEMEI PROFESSORA LINDOMAR DOMINGOS DA SILVA ANJOS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5.75" customHeight="1" spans="1:25">
      <c r="A69" s="36" t="str">
        <f t="shared" si="5"/>
        <v>REGIONAL 5</v>
      </c>
      <c r="B69" s="37" t="str">
        <f>IFERROR(__xludf.dummyfunction("""COMPUTED_VALUE"""),"28/01/2026 09:00:15")</f>
        <v>28/01/2026 09:00:15</v>
      </c>
      <c r="C69" s="38" t="str">
        <f>IFERROR(__xludf.dummyfunction("""COMPUTED_VALUE"""),"8")</f>
        <v>8</v>
      </c>
      <c r="D69" s="15" t="str">
        <f>IFERROR(__xludf.dummyfunction("""COMPUTED_VALUE"""),"H. M. C. D. L")</f>
        <v>H. M. C. D. L</v>
      </c>
      <c r="E69" s="39" t="str">
        <f>IFERROR(__xludf.dummyfunction("""COMPUTED_VALUE"""),"21/12/2023")</f>
        <v>21/12/2023</v>
      </c>
      <c r="F69" s="15" t="str">
        <f>IFERROR(__xludf.dummyfunction("""COMPUTED_VALUE"""),"001******90")</f>
        <v>001******90</v>
      </c>
      <c r="G69" s="15" t="str">
        <f>IFERROR(__xludf.dummyfunction("""COMPUTED_VALUE"""),"INFANTIL 2")</f>
        <v>INFANTIL 2</v>
      </c>
      <c r="H69" s="40" t="str">
        <f>IFERROR(__xludf.dummyfunction("""COMPUTED_VALUE"""),"CEMEI PROFESSORA LINDOMAR DOMINGOS DA SILVA ANJOS")</f>
        <v>CEMEI PROFESSORA LINDOMAR DOMINGOS DA SILVA ANJOS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5.75" customHeight="1" spans="1:25">
      <c r="A70" s="36" t="str">
        <f t="shared" si="5"/>
        <v>REGIONAL 5</v>
      </c>
      <c r="B70" s="37" t="str">
        <f>IFERROR(__xludf.dummyfunction("""COMPUTED_VALUE"""),"28/01/2026 09:08:41")</f>
        <v>28/01/2026 09:08:41</v>
      </c>
      <c r="C70" s="38" t="str">
        <f>IFERROR(__xludf.dummyfunction("""COMPUTED_VALUE"""),"9")</f>
        <v>9</v>
      </c>
      <c r="D70" s="15" t="str">
        <f>IFERROR(__xludf.dummyfunction("""COMPUTED_VALUE"""),"T. V. D. S. F")</f>
        <v>T. V. D. S. F</v>
      </c>
      <c r="E70" s="39" t="str">
        <f>IFERROR(__xludf.dummyfunction("""COMPUTED_VALUE"""),"04/08/2023")</f>
        <v>04/08/2023</v>
      </c>
      <c r="F70" s="15" t="str">
        <f>IFERROR(__xludf.dummyfunction("""COMPUTED_VALUE"""),"186******21")</f>
        <v>186******21</v>
      </c>
      <c r="G70" s="15" t="str">
        <f>IFERROR(__xludf.dummyfunction("""COMPUTED_VALUE"""),"INFANTIL 2")</f>
        <v>INFANTIL 2</v>
      </c>
      <c r="H70" s="40" t="str">
        <f>IFERROR(__xludf.dummyfunction("""COMPUTED_VALUE"""),"CEMEI PROFESSORA LINDOMAR DOMINGOS DA SILVA ANJOS")</f>
        <v>CEMEI PROFESSORA LINDOMAR DOMINGOS DA SILVA ANJOS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5.75" customHeight="1" spans="1:25">
      <c r="A71" s="36" t="str">
        <f t="shared" si="5"/>
        <v>REGIONAL 5</v>
      </c>
      <c r="B71" s="37" t="str">
        <f>IFERROR(__xludf.dummyfunction("""COMPUTED_VALUE"""),"28/01/2026 09:29:37")</f>
        <v>28/01/2026 09:29:37</v>
      </c>
      <c r="C71" s="38" t="str">
        <f>IFERROR(__xludf.dummyfunction("""COMPUTED_VALUE"""),"10")</f>
        <v>10</v>
      </c>
      <c r="D71" s="15" t="str">
        <f>IFERROR(__xludf.dummyfunction("""COMPUTED_VALUE"""),"M. F. D. S")</f>
        <v>M. F. D. S</v>
      </c>
      <c r="E71" s="39" t="str">
        <f>IFERROR(__xludf.dummyfunction("""COMPUTED_VALUE"""),"30/12/2023")</f>
        <v>30/12/2023</v>
      </c>
      <c r="F71" s="15" t="str">
        <f>IFERROR(__xludf.dummyfunction("""COMPUTED_VALUE"""),"001******28")</f>
        <v>001******28</v>
      </c>
      <c r="G71" s="15" t="str">
        <f>IFERROR(__xludf.dummyfunction("""COMPUTED_VALUE"""),"INFANTIL 2")</f>
        <v>INFANTIL 2</v>
      </c>
      <c r="H71" s="40" t="str">
        <f>IFERROR(__xludf.dummyfunction("""COMPUTED_VALUE"""),"CEMEI PROFESSORA LINDOMAR DOMINGOS DA SILVA ANJOS")</f>
        <v>CEMEI PROFESSORA LINDOMAR DOMINGOS DA SILVA ANJOS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5.75" customHeight="1" spans="1:25">
      <c r="A72" s="36" t="str">
        <f t="shared" si="5"/>
        <v>REGIONAL 5</v>
      </c>
      <c r="B72" s="37" t="str">
        <f>IFERROR(__xludf.dummyfunction("""COMPUTED_VALUE"""),"28/01/2026 10:56:41")</f>
        <v>28/01/2026 10:56:41</v>
      </c>
      <c r="C72" s="38" t="str">
        <f>IFERROR(__xludf.dummyfunction("""COMPUTED_VALUE"""),"11")</f>
        <v>11</v>
      </c>
      <c r="D72" s="15" t="str">
        <f>IFERROR(__xludf.dummyfunction("""COMPUTED_VALUE"""),"Y. S. R")</f>
        <v>Y. S. R</v>
      </c>
      <c r="E72" s="39" t="str">
        <f>IFERROR(__xludf.dummyfunction("""COMPUTED_VALUE"""),"11/10/2023")</f>
        <v>11/10/2023</v>
      </c>
      <c r="F72" s="15" t="str">
        <f>IFERROR(__xludf.dummyfunction("""COMPUTED_VALUE"""),"000******55")</f>
        <v>000******55</v>
      </c>
      <c r="G72" s="15" t="str">
        <f>IFERROR(__xludf.dummyfunction("""COMPUTED_VALUE"""),"INFANTIL 2")</f>
        <v>INFANTIL 2</v>
      </c>
      <c r="H72" s="40" t="str">
        <f>IFERROR(__xludf.dummyfunction("""COMPUTED_VALUE"""),"CEMEI PROFESSORA LINDOMAR DOMINGOS DA SILVA ANJOS")</f>
        <v>CEMEI PROFESSORA LINDOMAR DOMINGOS DA SILVA ANJOS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5.75" customHeight="1" spans="1:25">
      <c r="A73" s="36" t="str">
        <f t="shared" si="5"/>
        <v>REGIONAL 5</v>
      </c>
      <c r="B73" s="15" t="str">
        <f>IFERROR(__xludf.dummyfunction("""COMPUTED_VALUE"""),"28/01/2026 11:08:50")</f>
        <v>28/01/2026 11:08:50</v>
      </c>
      <c r="C73" s="38" t="str">
        <f>IFERROR(__xludf.dummyfunction("""COMPUTED_VALUE"""),"12")</f>
        <v>12</v>
      </c>
      <c r="D73" s="15" t="str">
        <f>IFERROR(__xludf.dummyfunction("""COMPUTED_VALUE"""),"A. V")</f>
        <v>A. V</v>
      </c>
      <c r="E73" s="15" t="str">
        <f>IFERROR(__xludf.dummyfunction("""COMPUTED_VALUE"""),"28/07/2023")</f>
        <v>28/07/2023</v>
      </c>
      <c r="F73" s="15" t="str">
        <f>IFERROR(__xludf.dummyfunction("""COMPUTED_VALUE"""),"157******62")</f>
        <v>157******62</v>
      </c>
      <c r="G73" s="15" t="str">
        <f>IFERROR(__xludf.dummyfunction("""COMPUTED_VALUE"""),"INFANTIL 2")</f>
        <v>INFANTIL 2</v>
      </c>
      <c r="H73" s="40" t="str">
        <f>IFERROR(__xludf.dummyfunction("""COMPUTED_VALUE"""),"CEMEI PROFESSORA LINDOMAR DOMINGOS DA SILVA ANJOS")</f>
        <v>CEMEI PROFESSORA LINDOMAR DOMINGOS DA SILVA ANJOS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5.75" customHeight="1" spans="1:25">
      <c r="A74" s="36" t="str">
        <f t="shared" si="5"/>
        <v>REGIONAL 5</v>
      </c>
      <c r="B74" s="15" t="str">
        <f>IFERROR(__xludf.dummyfunction("""COMPUTED_VALUE"""),"28/01/2026 12:27:56")</f>
        <v>28/01/2026 12:27:56</v>
      </c>
      <c r="C74" s="38" t="str">
        <f>IFERROR(__xludf.dummyfunction("""COMPUTED_VALUE"""),"13")</f>
        <v>13</v>
      </c>
      <c r="D74" s="15" t="str">
        <f>IFERROR(__xludf.dummyfunction("""COMPUTED_VALUE"""),"M. M. D. S. C")</f>
        <v>M. M. D. S. C</v>
      </c>
      <c r="E74" s="15" t="str">
        <f>IFERROR(__xludf.dummyfunction("""COMPUTED_VALUE"""),"10/06/2023")</f>
        <v>10/06/2023</v>
      </c>
      <c r="F74" s="15" t="str">
        <f>IFERROR(__xludf.dummyfunction("""COMPUTED_VALUE"""),"185******70")</f>
        <v>185******70</v>
      </c>
      <c r="G74" s="15" t="str">
        <f>IFERROR(__xludf.dummyfunction("""COMPUTED_VALUE"""),"INFANTIL 2")</f>
        <v>INFANTIL 2</v>
      </c>
      <c r="H74" s="40" t="str">
        <f>IFERROR(__xludf.dummyfunction("""COMPUTED_VALUE"""),"CEMEI PROFESSORA LINDOMAR DOMINGOS DA SILVA ANJOS")</f>
        <v>CEMEI PROFESSORA LINDOMAR DOMINGOS DA SILVA ANJOS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5.75" customHeight="1" spans="1:25">
      <c r="A75" s="36" t="str">
        <f t="shared" si="5"/>
        <v>REGIONAL 5</v>
      </c>
      <c r="B75" s="15" t="str">
        <f>IFERROR(__xludf.dummyfunction("""COMPUTED_VALUE"""),"29/01/2026 09:34:00")</f>
        <v>29/01/2026 09:34:00</v>
      </c>
      <c r="C75" s="38" t="str">
        <f>IFERROR(__xludf.dummyfunction("""COMPUTED_VALUE"""),"14")</f>
        <v>14</v>
      </c>
      <c r="D75" s="15" t="str">
        <f>IFERROR(__xludf.dummyfunction("""COMPUTED_VALUE"""),"L. S. O. D. A")</f>
        <v>L. S. O. D. A</v>
      </c>
      <c r="E75" s="15" t="str">
        <f>IFERROR(__xludf.dummyfunction("""COMPUTED_VALUE"""),"13/12/2023")</f>
        <v>13/12/2023</v>
      </c>
      <c r="F75" s="15" t="str">
        <f>IFERROR(__xludf.dummyfunction("""COMPUTED_VALUE"""),"002******11")</f>
        <v>002******11</v>
      </c>
      <c r="G75" s="15" t="str">
        <f>IFERROR(__xludf.dummyfunction("""COMPUTED_VALUE"""),"INFANTIL 2")</f>
        <v>INFANTIL 2</v>
      </c>
      <c r="H75" s="40" t="str">
        <f>IFERROR(__xludf.dummyfunction("""COMPUTED_VALUE"""),"CEMEI PROFESSORA LINDOMAR DOMINGOS DA SILVA ANJOS")</f>
        <v>CEMEI PROFESSORA LINDOMAR DOMINGOS DA SILVA ANJOS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5.75" customHeight="1" spans="1:25">
      <c r="A76" s="36" t="str">
        <f t="shared" si="5"/>
        <v>REGIONAL 5</v>
      </c>
      <c r="B76" s="15" t="str">
        <f>IFERROR(__xludf.dummyfunction("""COMPUTED_VALUE"""),"29/01/2026 19:07:33")</f>
        <v>29/01/2026 19:07:33</v>
      </c>
      <c r="C76" s="38" t="str">
        <f>IFERROR(__xludf.dummyfunction("""COMPUTED_VALUE"""),"15")</f>
        <v>15</v>
      </c>
      <c r="D76" s="15" t="str">
        <f>IFERROR(__xludf.dummyfunction("""COMPUTED_VALUE"""),"J. P. A. D. S")</f>
        <v>J. P. A. D. S</v>
      </c>
      <c r="E76" s="15" t="str">
        <f>IFERROR(__xludf.dummyfunction("""COMPUTED_VALUE"""),"13/05/2023")</f>
        <v>13/05/2023</v>
      </c>
      <c r="F76" s="15" t="str">
        <f>IFERROR(__xludf.dummyfunction("""COMPUTED_VALUE"""),"185******08")</f>
        <v>185******08</v>
      </c>
      <c r="G76" s="15" t="str">
        <f>IFERROR(__xludf.dummyfunction("""COMPUTED_VALUE"""),"INFANTIL 2")</f>
        <v>INFANTIL 2</v>
      </c>
      <c r="H76" s="40" t="str">
        <f>IFERROR(__xludf.dummyfunction("""COMPUTED_VALUE"""),"CEMEI PROFESSORA LINDOMAR DOMINGOS DA SILVA ANJOS")</f>
        <v>CEMEI PROFESSORA LINDOMAR DOMINGOS DA SILVA ANJOS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5.75" customHeight="1" spans="1:25">
      <c r="A77" s="36" t="str">
        <f t="shared" si="5"/>
        <v>REGIONAL 5</v>
      </c>
      <c r="B77" s="15" t="str">
        <f>IFERROR(__xludf.dummyfunction("""COMPUTED_VALUE"""),"03/02/2026 12:10:55")</f>
        <v>03/02/2026 12:10:55</v>
      </c>
      <c r="C77" s="38" t="str">
        <f>IFERROR(__xludf.dummyfunction("""COMPUTED_VALUE"""),"16")</f>
        <v>16</v>
      </c>
      <c r="D77" s="15" t="str">
        <f>IFERROR(__xludf.dummyfunction("""COMPUTED_VALUE"""),"E. B. M. F. N")</f>
        <v>E. B. M. F. N</v>
      </c>
      <c r="E77" s="15" t="str">
        <f>IFERROR(__xludf.dummyfunction("""COMPUTED_VALUE"""),"11/11/2023")</f>
        <v>11/11/2023</v>
      </c>
      <c r="F77" s="15" t="str">
        <f>IFERROR(__xludf.dummyfunction("""COMPUTED_VALUE"""),"001******70")</f>
        <v>001******70</v>
      </c>
      <c r="G77" s="15" t="str">
        <f>IFERROR(__xludf.dummyfunction("""COMPUTED_VALUE"""),"INFANTIL 2")</f>
        <v>INFANTIL 2</v>
      </c>
      <c r="H77" s="40" t="str">
        <f>IFERROR(__xludf.dummyfunction("""COMPUTED_VALUE"""),"CEMEI PROFESSORA LINDOMAR DOMINGOS DA SILVA ANJOS")</f>
        <v>CEMEI PROFESSORA LINDOMAR DOMINGOS DA SILVA ANJOS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5.75" customHeight="1" spans="1:25">
      <c r="A78" s="36" t="str">
        <f t="shared" si="5"/>
        <v>REGIONAL 5</v>
      </c>
      <c r="B78" s="15" t="str">
        <f>IFERROR(__xludf.dummyfunction("""COMPUTED_VALUE"""),"03/02/2026 19:19:03")</f>
        <v>03/02/2026 19:19:03</v>
      </c>
      <c r="C78" s="38" t="str">
        <f>IFERROR(__xludf.dummyfunction("""COMPUTED_VALUE"""),"17")</f>
        <v>17</v>
      </c>
      <c r="D78" s="15" t="str">
        <f>IFERROR(__xludf.dummyfunction("""COMPUTED_VALUE"""),"A. E. V. D. S")</f>
        <v>A. E. V. D. S</v>
      </c>
      <c r="E78" s="15" t="str">
        <f>IFERROR(__xludf.dummyfunction("""COMPUTED_VALUE"""),"22/06/2023")</f>
        <v>22/06/2023</v>
      </c>
      <c r="F78" s="15" t="str">
        <f>IFERROR(__xludf.dummyfunction("""COMPUTED_VALUE"""),"185******00")</f>
        <v>185******00</v>
      </c>
      <c r="G78" s="15" t="str">
        <f>IFERROR(__xludf.dummyfunction("""COMPUTED_VALUE"""),"INFANTIL 2")</f>
        <v>INFANTIL 2</v>
      </c>
      <c r="H78" s="40" t="str">
        <f>IFERROR(__xludf.dummyfunction("""COMPUTED_VALUE"""),"CEMEI PROFESSORA LINDOMAR DOMINGOS DA SILVA ANJOS")</f>
        <v>CEMEI PROFESSORA LINDOMAR DOMINGOS DA SILVA ANJOS</v>
      </c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5.75" customHeight="1" spans="1:25">
      <c r="A79" s="36" t="str">
        <f t="shared" si="5"/>
        <v>REGIONAL 5</v>
      </c>
      <c r="B79" s="15" t="str">
        <f>IFERROR(__xludf.dummyfunction("""COMPUTED_VALUE"""),"04/02/2026 09:54:58")</f>
        <v>04/02/2026 09:54:58</v>
      </c>
      <c r="C79" s="38" t="str">
        <f>IFERROR(__xludf.dummyfunction("""COMPUTED_VALUE"""),"18")</f>
        <v>18</v>
      </c>
      <c r="D79" s="15" t="str">
        <f>IFERROR(__xludf.dummyfunction("""COMPUTED_VALUE"""),"A. M. M. D. L")</f>
        <v>A. M. M. D. L</v>
      </c>
      <c r="E79" s="15" t="str">
        <f>IFERROR(__xludf.dummyfunction("""COMPUTED_VALUE"""),"11/07/2023")</f>
        <v>11/07/2023</v>
      </c>
      <c r="F79" s="15" t="str">
        <f>IFERROR(__xludf.dummyfunction("""COMPUTED_VALUE"""),"186******75")</f>
        <v>186******75</v>
      </c>
      <c r="G79" s="15" t="str">
        <f>IFERROR(__xludf.dummyfunction("""COMPUTED_VALUE"""),"INFANTIL 2")</f>
        <v>INFANTIL 2</v>
      </c>
      <c r="H79" s="40" t="str">
        <f>IFERROR(__xludf.dummyfunction("""COMPUTED_VALUE"""),"CEMEI PROFESSORA LINDOMAR DOMINGOS DA SILVA ANJOS")</f>
        <v>CEMEI PROFESSORA LINDOMAR DOMINGOS DA SILVA ANJOS</v>
      </c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5.75" customHeight="1" spans="1:25">
      <c r="A80" s="36" t="str">
        <f t="shared" si="5"/>
        <v>REGIONAL 5</v>
      </c>
      <c r="B80" s="15" t="str">
        <f>IFERROR(__xludf.dummyfunction("""COMPUTED_VALUE"""),"04/02/2026 12:41:36")</f>
        <v>04/02/2026 12:41:36</v>
      </c>
      <c r="C80" s="38" t="str">
        <f>IFERROR(__xludf.dummyfunction("""COMPUTED_VALUE"""),"19")</f>
        <v>19</v>
      </c>
      <c r="D80" s="15" t="str">
        <f>IFERROR(__xludf.dummyfunction("""COMPUTED_VALUE"""),"I. R. D. S")</f>
        <v>I. R. D. S</v>
      </c>
      <c r="E80" s="15" t="str">
        <f>IFERROR(__xludf.dummyfunction("""COMPUTED_VALUE"""),"17/04/2023")</f>
        <v>17/04/2023</v>
      </c>
      <c r="F80" s="15" t="str">
        <f>IFERROR(__xludf.dummyfunction("""COMPUTED_VALUE"""),"185******67")</f>
        <v>185******67</v>
      </c>
      <c r="G80" s="15" t="str">
        <f>IFERROR(__xludf.dummyfunction("""COMPUTED_VALUE"""),"INFANTIL 2")</f>
        <v>INFANTIL 2</v>
      </c>
      <c r="H80" s="40" t="str">
        <f>IFERROR(__xludf.dummyfunction("""COMPUTED_VALUE"""),"CEMEI PROFESSORA LINDOMAR DOMINGOS DA SILVA ANJOS")</f>
        <v>CEMEI PROFESSORA LINDOMAR DOMINGOS DA SILVA ANJOS</v>
      </c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5.75" customHeight="1" spans="1:25">
      <c r="A81" s="36" t="str">
        <f t="shared" si="5"/>
        <v>REGIONAL 5</v>
      </c>
      <c r="B81" s="15" t="str">
        <f>IFERROR(__xludf.dummyfunction("""COMPUTED_VALUE"""),"04/02/2026 15:23:58")</f>
        <v>04/02/2026 15:23:58</v>
      </c>
      <c r="C81" s="38" t="str">
        <f>IFERROR(__xludf.dummyfunction("""COMPUTED_VALUE"""),"20")</f>
        <v>20</v>
      </c>
      <c r="D81" s="15" t="str">
        <f>IFERROR(__xludf.dummyfunction("""COMPUTED_VALUE"""),"C. R. L. D. S")</f>
        <v>C. R. L. D. S</v>
      </c>
      <c r="E81" s="15" t="str">
        <f>IFERROR(__xludf.dummyfunction("""COMPUTED_VALUE"""),"05/06/2023")</f>
        <v>05/06/2023</v>
      </c>
      <c r="F81" s="15" t="str">
        <f>IFERROR(__xludf.dummyfunction("""COMPUTED_VALUE"""),"185******37")</f>
        <v>185******37</v>
      </c>
      <c r="G81" s="15" t="str">
        <f>IFERROR(__xludf.dummyfunction("""COMPUTED_VALUE"""),"INFANTIL 2")</f>
        <v>INFANTIL 2</v>
      </c>
      <c r="H81" s="40" t="str">
        <f>IFERROR(__xludf.dummyfunction("""COMPUTED_VALUE"""),"CEMEI PROFESSORA LINDOMAR DOMINGOS DA SILVA ANJOS")</f>
        <v>CEMEI PROFESSORA LINDOMAR DOMINGOS DA SILVA ANJOS</v>
      </c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5.75" customHeight="1" spans="1:25">
      <c r="A82" s="36" t="str">
        <f t="shared" si="5"/>
        <v>REGIONAL 5</v>
      </c>
      <c r="B82" s="15" t="str">
        <f>IFERROR(__xludf.dummyfunction("""COMPUTED_VALUE"""),"05/02/2026 16:07:06")</f>
        <v>05/02/2026 16:07:06</v>
      </c>
      <c r="C82" s="38" t="str">
        <f>IFERROR(__xludf.dummyfunction("""COMPUTED_VALUE"""),"21")</f>
        <v>21</v>
      </c>
      <c r="D82" s="15" t="str">
        <f>IFERROR(__xludf.dummyfunction("""COMPUTED_VALUE"""),"C. R. M. A. D. A")</f>
        <v>C. R. M. A. D. A</v>
      </c>
      <c r="E82" s="15" t="str">
        <f>IFERROR(__xludf.dummyfunction("""COMPUTED_VALUE"""),"11/08/2023")</f>
        <v>11/08/2023</v>
      </c>
      <c r="F82" s="15" t="str">
        <f>IFERROR(__xludf.dummyfunction("""COMPUTED_VALUE"""),"186******84")</f>
        <v>186******84</v>
      </c>
      <c r="G82" s="15" t="str">
        <f>IFERROR(__xludf.dummyfunction("""COMPUTED_VALUE"""),"INFANTIL 2")</f>
        <v>INFANTIL 2</v>
      </c>
      <c r="H82" s="40" t="str">
        <f>IFERROR(__xludf.dummyfunction("""COMPUTED_VALUE"""),"CEMEI PROFESSORA LINDOMAR DOMINGOS DA SILVA ANJOS")</f>
        <v>CEMEI PROFESSORA LINDOMAR DOMINGOS DA SILVA ANJOS</v>
      </c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5.75" customHeight="1" spans="1:25">
      <c r="A83" s="36" t="str">
        <f t="shared" si="5"/>
        <v>REGIONAL 5</v>
      </c>
      <c r="B83" s="15" t="str">
        <f>IFERROR(__xludf.dummyfunction("""COMPUTED_VALUE"""),"09/02/2026 09:40:47")</f>
        <v>09/02/2026 09:40:47</v>
      </c>
      <c r="C83" s="38" t="str">
        <f>IFERROR(__xludf.dummyfunction("""COMPUTED_VALUE"""),"22")</f>
        <v>22</v>
      </c>
      <c r="D83" s="15" t="str">
        <f>IFERROR(__xludf.dummyfunction("""COMPUTED_VALUE"""),"M. C. D. S")</f>
        <v>M. C. D. S</v>
      </c>
      <c r="E83" s="15" t="str">
        <f>IFERROR(__xludf.dummyfunction("""COMPUTED_VALUE"""),"26/01/2024")</f>
        <v>26/01/2024</v>
      </c>
      <c r="F83" s="15" t="str">
        <f>IFERROR(__xludf.dummyfunction("""COMPUTED_VALUE"""),"001******17")</f>
        <v>001******17</v>
      </c>
      <c r="G83" s="15" t="str">
        <f>IFERROR(__xludf.dummyfunction("""COMPUTED_VALUE"""),"INFANTIL 2")</f>
        <v>INFANTIL 2</v>
      </c>
      <c r="H83" s="40" t="str">
        <f>IFERROR(__xludf.dummyfunction("""COMPUTED_VALUE"""),"CEMEI PROFESSORA LINDOMAR DOMINGOS DA SILVA ANJOS")</f>
        <v>CEMEI PROFESSORA LINDOMAR DOMINGOS DA SILVA ANJOS</v>
      </c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5.75" customHeight="1" spans="1:25">
      <c r="A84" s="36" t="str">
        <f t="shared" si="5"/>
        <v>REGIONAL 5</v>
      </c>
      <c r="B84" s="15" t="str">
        <f>IFERROR(__xludf.dummyfunction("""COMPUTED_VALUE"""),"10/02/2026 07:55:39")</f>
        <v>10/02/2026 07:55:39</v>
      </c>
      <c r="C84" s="38" t="str">
        <f>IFERROR(__xludf.dummyfunction("""COMPUTED_VALUE"""),"23")</f>
        <v>23</v>
      </c>
      <c r="D84" s="15" t="str">
        <f>IFERROR(__xludf.dummyfunction("""COMPUTED_VALUE"""),"M. B. G")</f>
        <v>M. B. G</v>
      </c>
      <c r="E84" s="15" t="str">
        <f>IFERROR(__xludf.dummyfunction("""COMPUTED_VALUE"""),"07/12/2023")</f>
        <v>07/12/2023</v>
      </c>
      <c r="F84" s="15" t="str">
        <f>IFERROR(__xludf.dummyfunction("""COMPUTED_VALUE"""),"001******44")</f>
        <v>001******44</v>
      </c>
      <c r="G84" s="15" t="str">
        <f>IFERROR(__xludf.dummyfunction("""COMPUTED_VALUE"""),"INFANTIL 2")</f>
        <v>INFANTIL 2</v>
      </c>
      <c r="H84" s="40" t="str">
        <f>IFERROR(__xludf.dummyfunction("""COMPUTED_VALUE"""),"CEMEI PROFESSORA LINDOMAR DOMINGOS DA SILVA ANJOS")</f>
        <v>CEMEI PROFESSORA LINDOMAR DOMINGOS DA SILVA ANJOS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5.75" customHeight="1" spans="1:25">
      <c r="A85" s="36" t="str">
        <f t="shared" si="5"/>
        <v>REGIONAL 5</v>
      </c>
      <c r="B85" s="15" t="str">
        <f>IFERROR(__xludf.dummyfunction("""COMPUTED_VALUE"""),"10/02/2026 08:09:08")</f>
        <v>10/02/2026 08:09:08</v>
      </c>
      <c r="C85" s="38" t="str">
        <f>IFERROR(__xludf.dummyfunction("""COMPUTED_VALUE"""),"24")</f>
        <v>24</v>
      </c>
      <c r="D85" s="15" t="str">
        <f>IFERROR(__xludf.dummyfunction("""COMPUTED_VALUE"""),"G. L. M. D. L")</f>
        <v>G. L. M. D. L</v>
      </c>
      <c r="E85" s="15" t="str">
        <f>IFERROR(__xludf.dummyfunction("""COMPUTED_VALUE"""),"08/06/2023")</f>
        <v>08/06/2023</v>
      </c>
      <c r="F85" s="15" t="str">
        <f>IFERROR(__xludf.dummyfunction("""COMPUTED_VALUE"""),"185******83")</f>
        <v>185******83</v>
      </c>
      <c r="G85" s="15" t="str">
        <f>IFERROR(__xludf.dummyfunction("""COMPUTED_VALUE"""),"INFANTIL 2")</f>
        <v>INFANTIL 2</v>
      </c>
      <c r="H85" s="40" t="str">
        <f>IFERROR(__xludf.dummyfunction("""COMPUTED_VALUE"""),"CEMEI PROFESSORA LINDOMAR DOMINGOS DA SILVA ANJOS")</f>
        <v>CEMEI PROFESSORA LINDOMAR DOMINGOS DA SILVA ANJOS</v>
      </c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5.75" customHeight="1" spans="1:25">
      <c r="A86" s="36" t="str">
        <f t="shared" si="5"/>
        <v>REGIONAL 5</v>
      </c>
      <c r="B86" s="15" t="str">
        <f>IFERROR(__xludf.dummyfunction("""COMPUTED_VALUE"""),"10/02/2026 11:18:19")</f>
        <v>10/02/2026 11:18:19</v>
      </c>
      <c r="C86" s="38" t="str">
        <f>IFERROR(__xludf.dummyfunction("""COMPUTED_VALUE"""),"25")</f>
        <v>25</v>
      </c>
      <c r="D86" s="15" t="str">
        <f>IFERROR(__xludf.dummyfunction("""COMPUTED_VALUE"""),"J. J. A. D. S")</f>
        <v>J. J. A. D. S</v>
      </c>
      <c r="E86" s="15" t="str">
        <f>IFERROR(__xludf.dummyfunction("""COMPUTED_VALUE"""),"05/07/2023")</f>
        <v>05/07/2023</v>
      </c>
      <c r="F86" s="15" t="str">
        <f>IFERROR(__xludf.dummyfunction("""COMPUTED_VALUE"""),"185******70")</f>
        <v>185******70</v>
      </c>
      <c r="G86" s="15" t="str">
        <f>IFERROR(__xludf.dummyfunction("""COMPUTED_VALUE"""),"INFANTIL 2")</f>
        <v>INFANTIL 2</v>
      </c>
      <c r="H86" s="40" t="str">
        <f>IFERROR(__xludf.dummyfunction("""COMPUTED_VALUE"""),"CEMEI PROFESSORA LINDOMAR DOMINGOS DA SILVA ANJOS")</f>
        <v>CEMEI PROFESSORA LINDOMAR DOMINGOS DA SILVA ANJOS</v>
      </c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5.75" customHeight="1" spans="1:25">
      <c r="A87" s="36" t="str">
        <f t="shared" si="5"/>
        <v>REGIONAL 5</v>
      </c>
      <c r="B87" s="15" t="str">
        <f>IFERROR(__xludf.dummyfunction("""COMPUTED_VALUE"""),"11/02/2026 13:53:52")</f>
        <v>11/02/2026 13:53:52</v>
      </c>
      <c r="C87" s="38" t="str">
        <f>IFERROR(__xludf.dummyfunction("""COMPUTED_VALUE"""),"26")</f>
        <v>26</v>
      </c>
      <c r="D87" s="15" t="str">
        <f>IFERROR(__xludf.dummyfunction("""COMPUTED_VALUE"""),"Y. M. V. D. S. N")</f>
        <v>Y. M. V. D. S. N</v>
      </c>
      <c r="E87" s="15" t="str">
        <f>IFERROR(__xludf.dummyfunction("""COMPUTED_VALUE"""),"10/11/2023")</f>
        <v>10/11/2023</v>
      </c>
      <c r="F87" s="15" t="str">
        <f>IFERROR(__xludf.dummyfunction("""COMPUTED_VALUE"""),"000******22")</f>
        <v>000******22</v>
      </c>
      <c r="G87" s="15" t="str">
        <f>IFERROR(__xludf.dummyfunction("""COMPUTED_VALUE"""),"INFANTIL 2")</f>
        <v>INFANTIL 2</v>
      </c>
      <c r="H87" s="40" t="str">
        <f>IFERROR(__xludf.dummyfunction("""COMPUTED_VALUE"""),"CEMEI PROFESSORA LINDOMAR DOMINGOS DA SILVA ANJOS")</f>
        <v>CEMEI PROFESSORA LINDOMAR DOMINGOS DA SILVA ANJOS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5.75" customHeight="1" spans="1:25">
      <c r="A88" s="36" t="str">
        <f t="shared" ref="A88:A137" si="6">IF(B88&lt;&gt;"","REGIONAL 5","")</f>
        <v>REGIONAL 5</v>
      </c>
      <c r="B88" s="15" t="str">
        <f>IFERROR(__xludf.dummyfunction("""COMPUTED_VALUE"""),"19/02/2026 09:30:52")</f>
        <v>19/02/2026 09:30:52</v>
      </c>
      <c r="C88" s="38" t="str">
        <f>IFERROR(__xludf.dummyfunction("""COMPUTED_VALUE"""),"27")</f>
        <v>27</v>
      </c>
      <c r="D88" s="15" t="str">
        <f>IFERROR(__xludf.dummyfunction("""COMPUTED_VALUE"""),"B. D. S. F")</f>
        <v>B. D. S. F</v>
      </c>
      <c r="E88" s="15" t="str">
        <f>IFERROR(__xludf.dummyfunction("""COMPUTED_VALUE"""),"25/04/2023")</f>
        <v>25/04/2023</v>
      </c>
      <c r="F88" s="15" t="str">
        <f>IFERROR(__xludf.dummyfunction("""COMPUTED_VALUE"""),"185******70")</f>
        <v>185******70</v>
      </c>
      <c r="G88" s="15" t="str">
        <f>IFERROR(__xludf.dummyfunction("""COMPUTED_VALUE"""),"INFANTIL 2")</f>
        <v>INFANTIL 2</v>
      </c>
      <c r="H88" s="40" t="str">
        <f>IFERROR(__xludf.dummyfunction("""COMPUTED_VALUE"""),"CEMEI PROFESSORA LINDOMAR DOMINGOS DA SILVA ANJOS")</f>
        <v>CEMEI PROFESSORA LINDOMAR DOMINGOS DA SILVA ANJOS</v>
      </c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5.75" customHeight="1" spans="1:25">
      <c r="A89" s="36" t="str">
        <f t="shared" si="6"/>
        <v>REGIONAL 5</v>
      </c>
      <c r="B89" s="15" t="str">
        <f>IFERROR(__xludf.dummyfunction("""COMPUTED_VALUE"""),"03/03/2026 12:02:06")</f>
        <v>03/03/2026 12:02:06</v>
      </c>
      <c r="C89" s="38" t="str">
        <f>IFERROR(__xludf.dummyfunction("""COMPUTED_VALUE"""),"28")</f>
        <v>28</v>
      </c>
      <c r="D89" s="15" t="str">
        <f>IFERROR(__xludf.dummyfunction("""COMPUTED_VALUE"""),"H. B. D. S")</f>
        <v>H. B. D. S</v>
      </c>
      <c r="E89" s="15" t="str">
        <f>IFERROR(__xludf.dummyfunction("""COMPUTED_VALUE"""),"27/06/2023")</f>
        <v>27/06/2023</v>
      </c>
      <c r="F89" s="15" t="str">
        <f>IFERROR(__xludf.dummyfunction("""COMPUTED_VALUE"""),"185******04")</f>
        <v>185******04</v>
      </c>
      <c r="G89" s="15" t="str">
        <f>IFERROR(__xludf.dummyfunction("""COMPUTED_VALUE"""),"INFANTIL 2")</f>
        <v>INFANTIL 2</v>
      </c>
      <c r="H89" s="40" t="str">
        <f>IFERROR(__xludf.dummyfunction("""COMPUTED_VALUE"""),"CEMEI PROFESSORA LINDOMAR DOMINGOS DA SILVA ANJOS")</f>
        <v>CEMEI PROFESSORA LINDOMAR DOMINGOS DA SILVA ANJOS</v>
      </c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5.75" customHeight="1" spans="1:25">
      <c r="A90" s="36" t="str">
        <f t="shared" si="6"/>
        <v>REGIONAL 5</v>
      </c>
      <c r="B90" s="15" t="str">
        <f>IFERROR(__xludf.dummyfunction("""COMPUTED_VALUE"""),"04/03/2026 07:55:35")</f>
        <v>04/03/2026 07:55:35</v>
      </c>
      <c r="C90" s="38" t="str">
        <f>IFERROR(__xludf.dummyfunction("""COMPUTED_VALUE"""),"29")</f>
        <v>29</v>
      </c>
      <c r="D90" s="15" t="str">
        <f>IFERROR(__xludf.dummyfunction("""COMPUTED_VALUE"""),"A. G. P. D. S")</f>
        <v>A. G. P. D. S</v>
      </c>
      <c r="E90" s="15" t="str">
        <f>IFERROR(__xludf.dummyfunction("""COMPUTED_VALUE"""),"16/11/2023")</f>
        <v>16/11/2023</v>
      </c>
      <c r="F90" s="15" t="str">
        <f>IFERROR(__xludf.dummyfunction("""COMPUTED_VALUE"""),"001******73")</f>
        <v>001******73</v>
      </c>
      <c r="G90" s="15" t="str">
        <f>IFERROR(__xludf.dummyfunction("""COMPUTED_VALUE"""),"INFANTIL 2")</f>
        <v>INFANTIL 2</v>
      </c>
      <c r="H90" s="40" t="str">
        <f>IFERROR(__xludf.dummyfunction("""COMPUTED_VALUE"""),"CEMEI PROFESSORA LINDOMAR DOMINGOS DA SILVA ANJOS")</f>
        <v>CEMEI PROFESSORA LINDOMAR DOMINGOS DA SILVA ANJOS</v>
      </c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5.75" customHeight="1" spans="1:25">
      <c r="A91" s="36" t="str">
        <f t="shared" si="6"/>
        <v>REGIONAL 5</v>
      </c>
      <c r="B91" s="15" t="str">
        <f>IFERROR(__xludf.dummyfunction("""COMPUTED_VALUE"""),"12/03/2026 11:41:32")</f>
        <v>12/03/2026 11:41:32</v>
      </c>
      <c r="C91" s="38" t="str">
        <f>IFERROR(__xludf.dummyfunction("""COMPUTED_VALUE"""),"30")</f>
        <v>30</v>
      </c>
      <c r="D91" s="15" t="str">
        <f>IFERROR(__xludf.dummyfunction("""COMPUTED_VALUE"""),"A. H. S. D. S")</f>
        <v>A. H. S. D. S</v>
      </c>
      <c r="E91" s="15" t="str">
        <f>IFERROR(__xludf.dummyfunction("""COMPUTED_VALUE"""),"21/09/2023")</f>
        <v>21/09/2023</v>
      </c>
      <c r="F91" s="15" t="str">
        <f>IFERROR(__xludf.dummyfunction("""COMPUTED_VALUE"""),"186******03")</f>
        <v>186******03</v>
      </c>
      <c r="G91" s="15" t="str">
        <f>IFERROR(__xludf.dummyfunction("""COMPUTED_VALUE"""),"INFANTIL 2")</f>
        <v>INFANTIL 2</v>
      </c>
      <c r="H91" s="40" t="str">
        <f>IFERROR(__xludf.dummyfunction("""COMPUTED_VALUE"""),"CEMEI PROFESSORA LINDOMAR DOMINGOS DA SILVA ANJOS")</f>
        <v>CEMEI PROFESSORA LINDOMAR DOMINGOS DA SILVA ANJOS</v>
      </c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5.75" customHeight="1" spans="1:25">
      <c r="A92" s="36" t="str">
        <f t="shared" si="6"/>
        <v>REGIONAL 5</v>
      </c>
      <c r="B92" s="15" t="str">
        <f>IFERROR(__xludf.dummyfunction("""COMPUTED_VALUE"""),"25/04/2026 06:48:05")</f>
        <v>25/04/2026 06:48:05</v>
      </c>
      <c r="C92" s="38" t="str">
        <f>IFERROR(__xludf.dummyfunction("""COMPUTED_VALUE"""),"31")</f>
        <v>31</v>
      </c>
      <c r="D92" s="15" t="str">
        <f>IFERROR(__xludf.dummyfunction("""COMPUTED_VALUE"""),"C. M. D. A")</f>
        <v>C. M. D. A</v>
      </c>
      <c r="E92" s="15" t="str">
        <f>IFERROR(__xludf.dummyfunction("""COMPUTED_VALUE"""),"23/09/2023")</f>
        <v>23/09/2023</v>
      </c>
      <c r="F92" s="15" t="str">
        <f>IFERROR(__xludf.dummyfunction("""COMPUTED_VALUE"""),"000******91")</f>
        <v>000******91</v>
      </c>
      <c r="G92" s="15" t="str">
        <f>IFERROR(__xludf.dummyfunction("""COMPUTED_VALUE"""),"INFANTIL 2")</f>
        <v>INFANTIL 2</v>
      </c>
      <c r="H92" s="40" t="str">
        <f>IFERROR(__xludf.dummyfunction("""COMPUTED_VALUE"""),"CEMEI PROFESSORA LINDOMAR DOMINGOS DA SILVA ANJOS")</f>
        <v>CEMEI PROFESSORA LINDOMAR DOMINGOS DA SILVA ANJOS</v>
      </c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5.75" customHeight="1" spans="1:25">
      <c r="A93" s="36" t="str">
        <f t="shared" si="6"/>
        <v>REGIONAL 5</v>
      </c>
      <c r="B93" s="15" t="str">
        <f>IFERROR(__xludf.dummyfunction("""COMPUTED_VALUE"""),"29/06/2026 09:11:46")</f>
        <v>29/06/2026 09:11:46</v>
      </c>
      <c r="C93" s="38" t="str">
        <f>IFERROR(__xludf.dummyfunction("""COMPUTED_VALUE"""),"32")</f>
        <v>32</v>
      </c>
      <c r="D93" s="15" t="str">
        <f>IFERROR(__xludf.dummyfunction("""COMPUTED_VALUE"""),"K. R. B. D. S")</f>
        <v>K. R. B. D. S</v>
      </c>
      <c r="E93" s="15" t="str">
        <f>IFERROR(__xludf.dummyfunction("""COMPUTED_VALUE"""),"16/02/2024")</f>
        <v>16/02/2024</v>
      </c>
      <c r="F93" s="15" t="str">
        <f>IFERROR(__xludf.dummyfunction("""COMPUTED_VALUE"""),"001******30")</f>
        <v>001******30</v>
      </c>
      <c r="G93" s="15" t="str">
        <f>IFERROR(__xludf.dummyfunction("""COMPUTED_VALUE"""),"INFANTIL 2")</f>
        <v>INFANTIL 2</v>
      </c>
      <c r="H93" s="40" t="str">
        <f>IFERROR(__xludf.dummyfunction("""COMPUTED_VALUE"""),"CEMEI PROFESSORA LINDOMAR DOMINGOS DA SILVA ANJOS")</f>
        <v>CEMEI PROFESSORA LINDOMAR DOMINGOS DA SILVA ANJOS</v>
      </c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5.75" customHeight="1" spans="1:25">
      <c r="A94" s="36" t="str">
        <f t="shared" si="6"/>
        <v>REGIONAL 5</v>
      </c>
      <c r="B94" s="15" t="str">
        <f>IFERROR(__xludf.dummyfunction("""COMPUTED_VALUE"""),"29/07/2026 11:41:38")</f>
        <v>29/07/2026 11:41:38</v>
      </c>
      <c r="C94" s="38" t="str">
        <f>IFERROR(__xludf.dummyfunction("""COMPUTED_VALUE"""),"33")</f>
        <v>33</v>
      </c>
      <c r="D94" s="15" t="str">
        <f>IFERROR(__xludf.dummyfunction("""COMPUTED_VALUE"""),"M. S. D. M")</f>
        <v>M. S. D. M</v>
      </c>
      <c r="E94" s="15" t="str">
        <f>IFERROR(__xludf.dummyfunction("""COMPUTED_VALUE"""),"11/09/2023")</f>
        <v>11/09/2023</v>
      </c>
      <c r="F94" s="15" t="str">
        <f>IFERROR(__xludf.dummyfunction("""COMPUTED_VALUE"""),"186******09")</f>
        <v>186******09</v>
      </c>
      <c r="G94" s="15" t="str">
        <f>IFERROR(__xludf.dummyfunction("""COMPUTED_VALUE"""),"INFANTIL 2")</f>
        <v>INFANTIL 2</v>
      </c>
      <c r="H94" s="15" t="str">
        <f>IFERROR(__xludf.dummyfunction("""COMPUTED_VALUE"""),"CEMEI PROFESSORA LINDOMAR DOMINGOS DA SILVA ANJOS")</f>
        <v>CEMEI PROFESSORA LINDOMAR DOMINGOS DA SILVA ANJOS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5.75" customHeight="1" spans="1:25">
      <c r="A95" s="36" t="str">
        <f t="shared" si="6"/>
        <v>REGIONAL 5</v>
      </c>
      <c r="B95" s="15" t="str">
        <f>IFERROR(__xludf.dummyfunction("""COMPUTED_VALUE"""),"21/08/2026 17:45:10")</f>
        <v>21/08/2026 17:45:10</v>
      </c>
      <c r="C95" s="38" t="str">
        <f>IFERROR(__xludf.dummyfunction("""COMPUTED_VALUE"""),"34")</f>
        <v>34</v>
      </c>
      <c r="D95" s="15" t="str">
        <f>IFERROR(__xludf.dummyfunction("""COMPUTED_VALUE"""),"A. S")</f>
        <v>A. S</v>
      </c>
      <c r="E95" s="15" t="str">
        <f>IFERROR(__xludf.dummyfunction("""COMPUTED_VALUE"""),"07/05/2023")</f>
        <v>07/05/2023</v>
      </c>
      <c r="F95" s="15" t="str">
        <f>IFERROR(__xludf.dummyfunction("""COMPUTED_VALUE"""),"166******09")</f>
        <v>166******09</v>
      </c>
      <c r="G95" s="15" t="str">
        <f>IFERROR(__xludf.dummyfunction("""COMPUTED_VALUE"""),"INFANTIL 2")</f>
        <v>INFANTIL 2</v>
      </c>
      <c r="H95" s="15" t="str">
        <f>IFERROR(__xludf.dummyfunction("""COMPUTED_VALUE"""),"CEMEI PROFESSORA LINDOMAR DOMINGOS DA SILVA ANJOS")</f>
        <v>CEMEI PROFESSORA LINDOMAR DOMINGOS DA SILVA ANJOS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5.75" customHeight="1" spans="1:25">
      <c r="A96" s="36" t="str">
        <f t="shared" si="6"/>
        <v>REGIONAL 5</v>
      </c>
      <c r="B96" s="15" t="str">
        <f>IFERROR(__xludf.dummyfunction("""COMPUTED_VALUE"""),"17/09/2026 11:46:58")</f>
        <v>17/09/2026 11:46:58</v>
      </c>
      <c r="C96" s="38" t="str">
        <f>IFERROR(__xludf.dummyfunction("""COMPUTED_VALUE"""),"35")</f>
        <v>35</v>
      </c>
      <c r="D96" s="15" t="str">
        <f>IFERROR(__xludf.dummyfunction("""COMPUTED_VALUE"""),"H. W. V. P")</f>
        <v>H. W. V. P</v>
      </c>
      <c r="E96" s="15" t="str">
        <f>IFERROR(__xludf.dummyfunction("""COMPUTED_VALUE"""),"31/05/2023")</f>
        <v>31/05/2023</v>
      </c>
      <c r="F96" s="15" t="str">
        <f>IFERROR(__xludf.dummyfunction("""COMPUTED_VALUE"""),"185******09")</f>
        <v>185******09</v>
      </c>
      <c r="G96" s="15" t="str">
        <f>IFERROR(__xludf.dummyfunction("""COMPUTED_VALUE"""),"INFANTIL 2")</f>
        <v>INFANTIL 2</v>
      </c>
      <c r="H96" s="15" t="str">
        <f>IFERROR(__xludf.dummyfunction("""COMPUTED_VALUE"""),"CEMEI PROFESSORA LINDOMAR DOMINGOS DA SILVA ANJOS")</f>
        <v>CEMEI PROFESSORA LINDOMAR DOMINGOS DA SILVA ANJOS</v>
      </c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5.75" customHeight="1" spans="1:25">
      <c r="A97" s="36" t="str">
        <f t="shared" si="6"/>
        <v>REGIONAL 5</v>
      </c>
      <c r="B97" s="15" t="str">
        <f>IFERROR(__xludf.dummyfunction("""COMPUTED_VALUE"""),"28/01/2026 08:09:51")</f>
        <v>28/01/2026 08:09:51</v>
      </c>
      <c r="C97" s="38" t="str">
        <f>IFERROR(__xludf.dummyfunction("""COMPUTED_VALUE"""),"1")</f>
        <v>1</v>
      </c>
      <c r="D97" s="15" t="str">
        <f>IFERROR(__xludf.dummyfunction("""COMPUTED_VALUE"""),"J. V. M. D. S. S")</f>
        <v>J. V. M. D. S. S</v>
      </c>
      <c r="E97" s="15" t="str">
        <f>IFERROR(__xludf.dummyfunction("""COMPUTED_VALUE"""),"11/08/2022")</f>
        <v>11/08/2022</v>
      </c>
      <c r="F97" s="15" t="str">
        <f>IFERROR(__xludf.dummyfunction("""COMPUTED_VALUE"""),"182******05")</f>
        <v>182******05</v>
      </c>
      <c r="G97" s="15" t="str">
        <f>IFERROR(__xludf.dummyfunction("""COMPUTED_VALUE"""),"INFANTIL 3")</f>
        <v>INFANTIL 3</v>
      </c>
      <c r="H97" s="15" t="str">
        <f>IFERROR(__xludf.dummyfunction("""COMPUTED_VALUE"""),"CEMEI PROFESSORA LINDOMAR DOMINGOS DA SILVA ANJOS")</f>
        <v>CEMEI PROFESSORA LINDOMAR DOMINGOS DA SILVA ANJOS</v>
      </c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5.75" customHeight="1" spans="1:25">
      <c r="A98" s="36" t="str">
        <f t="shared" si="6"/>
        <v>REGIONAL 5</v>
      </c>
      <c r="B98" s="15" t="str">
        <f>IFERROR(__xludf.dummyfunction("""COMPUTED_VALUE"""),"28/01/2026 08:18:50")</f>
        <v>28/01/2026 08:18:50</v>
      </c>
      <c r="C98" s="38" t="str">
        <f>IFERROR(__xludf.dummyfunction("""COMPUTED_VALUE"""),"2")</f>
        <v>2</v>
      </c>
      <c r="D98" s="15" t="str">
        <f>IFERROR(__xludf.dummyfunction("""COMPUTED_VALUE"""),"T. S. A. S")</f>
        <v>T. S. A. S</v>
      </c>
      <c r="E98" s="15" t="str">
        <f>IFERROR(__xludf.dummyfunction("""COMPUTED_VALUE"""),"25/06/2022")</f>
        <v>25/06/2022</v>
      </c>
      <c r="F98" s="15" t="str">
        <f>IFERROR(__xludf.dummyfunction("""COMPUTED_VALUE"""),"182******52")</f>
        <v>182******52</v>
      </c>
      <c r="G98" s="15" t="str">
        <f>IFERROR(__xludf.dummyfunction("""COMPUTED_VALUE"""),"INFANTIL 3")</f>
        <v>INFANTIL 3</v>
      </c>
      <c r="H98" s="15" t="str">
        <f>IFERROR(__xludf.dummyfunction("""COMPUTED_VALUE"""),"CEMEI PROFESSORA LINDOMAR DOMINGOS DA SILVA ANJOS")</f>
        <v>CEMEI PROFESSORA LINDOMAR DOMINGOS DA SILVA ANJOS</v>
      </c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5.75" customHeight="1" spans="1:25">
      <c r="A99" s="36" t="str">
        <f t="shared" si="6"/>
        <v>REGIONAL 5</v>
      </c>
      <c r="B99" s="15" t="str">
        <f>IFERROR(__xludf.dummyfunction("""COMPUTED_VALUE"""),"28/01/2026 08:24:51")</f>
        <v>28/01/2026 08:24:51</v>
      </c>
      <c r="C99" s="38" t="str">
        <f>IFERROR(__xludf.dummyfunction("""COMPUTED_VALUE"""),"3")</f>
        <v>3</v>
      </c>
      <c r="D99" s="15" t="str">
        <f>IFERROR(__xludf.dummyfunction("""COMPUTED_VALUE"""),"K. L. V. D. S")</f>
        <v>K. L. V. D. S</v>
      </c>
      <c r="E99" s="15" t="str">
        <f>IFERROR(__xludf.dummyfunction("""COMPUTED_VALUE"""),"14/01/2023")</f>
        <v>14/01/2023</v>
      </c>
      <c r="F99" s="15" t="str">
        <f>IFERROR(__xludf.dummyfunction("""COMPUTED_VALUE"""),"184******86")</f>
        <v>184******86</v>
      </c>
      <c r="G99" s="15" t="str">
        <f>IFERROR(__xludf.dummyfunction("""COMPUTED_VALUE"""),"INFANTIL 3")</f>
        <v>INFANTIL 3</v>
      </c>
      <c r="H99" s="15" t="str">
        <f>IFERROR(__xludf.dummyfunction("""COMPUTED_VALUE"""),"CEMEI PROFESSORA LINDOMAR DOMINGOS DA SILVA ANJOS")</f>
        <v>CEMEI PROFESSORA LINDOMAR DOMINGOS DA SILVA ANJOS</v>
      </c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5.75" customHeight="1" spans="1:25">
      <c r="A100" s="36" t="str">
        <f t="shared" si="6"/>
        <v>REGIONAL 5</v>
      </c>
      <c r="B100" s="15" t="str">
        <f>IFERROR(__xludf.dummyfunction("""COMPUTED_VALUE"""),"28/01/2026 08:40:24")</f>
        <v>28/01/2026 08:40:24</v>
      </c>
      <c r="C100" s="38" t="str">
        <f>IFERROR(__xludf.dummyfunction("""COMPUTED_VALUE"""),"4")</f>
        <v>4</v>
      </c>
      <c r="D100" s="15" t="str">
        <f>IFERROR(__xludf.dummyfunction("""COMPUTED_VALUE"""),"A. H. D. O. S")</f>
        <v>A. H. D. O. S</v>
      </c>
      <c r="E100" s="15" t="str">
        <f>IFERROR(__xludf.dummyfunction("""COMPUTED_VALUE"""),"16/05/2022")</f>
        <v>16/05/2022</v>
      </c>
      <c r="F100" s="15" t="str">
        <f>IFERROR(__xludf.dummyfunction("""COMPUTED_VALUE"""),"181******57")</f>
        <v>181******57</v>
      </c>
      <c r="G100" s="15" t="str">
        <f>IFERROR(__xludf.dummyfunction("""COMPUTED_VALUE"""),"INFANTIL 3")</f>
        <v>INFANTIL 3</v>
      </c>
      <c r="H100" s="15" t="str">
        <f>IFERROR(__xludf.dummyfunction("""COMPUTED_VALUE"""),"CEMEI PROFESSORA LINDOMAR DOMINGOS DA SILVA ANJOS")</f>
        <v>CEMEI PROFESSORA LINDOMAR DOMINGOS DA SILVA ANJOS</v>
      </c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5.75" customHeight="1" spans="1:25">
      <c r="A101" s="36" t="str">
        <f t="shared" si="6"/>
        <v>REGIONAL 5</v>
      </c>
      <c r="B101" s="15" t="str">
        <f>IFERROR(__xludf.dummyfunction("""COMPUTED_VALUE"""),"28/01/2026 08:49:30")</f>
        <v>28/01/2026 08:49:30</v>
      </c>
      <c r="C101" s="38" t="str">
        <f>IFERROR(__xludf.dummyfunction("""COMPUTED_VALUE"""),"5")</f>
        <v>5</v>
      </c>
      <c r="D101" s="15" t="str">
        <f>IFERROR(__xludf.dummyfunction("""COMPUTED_VALUE"""),"J. B. S. D. S")</f>
        <v>J. B. S. D. S</v>
      </c>
      <c r="E101" s="15" t="str">
        <f>IFERROR(__xludf.dummyfunction("""COMPUTED_VALUE"""),"06/03/2023")</f>
        <v>06/03/2023</v>
      </c>
      <c r="F101" s="15" t="str">
        <f>IFERROR(__xludf.dummyfunction("""COMPUTED_VALUE"""),"184******70")</f>
        <v>184******70</v>
      </c>
      <c r="G101" s="15" t="str">
        <f>IFERROR(__xludf.dummyfunction("""COMPUTED_VALUE"""),"INFANTIL 3")</f>
        <v>INFANTIL 3</v>
      </c>
      <c r="H101" s="15" t="str">
        <f>IFERROR(__xludf.dummyfunction("""COMPUTED_VALUE"""),"CEMEI PROFESSORA LINDOMAR DOMINGOS DA SILVA ANJOS")</f>
        <v>CEMEI PROFESSORA LINDOMAR DOMINGOS DA SILVA ANJOS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5.75" customHeight="1" spans="1:25">
      <c r="A102" s="36" t="str">
        <f t="shared" si="6"/>
        <v>REGIONAL 5</v>
      </c>
      <c r="B102" s="15" t="str">
        <f>IFERROR(__xludf.dummyfunction("""COMPUTED_VALUE"""),"28/01/2026 10:50:39")</f>
        <v>28/01/2026 10:50:39</v>
      </c>
      <c r="C102" s="38" t="str">
        <f>IFERROR(__xludf.dummyfunction("""COMPUTED_VALUE"""),"6")</f>
        <v>6</v>
      </c>
      <c r="D102" s="15" t="str">
        <f>IFERROR(__xludf.dummyfunction("""COMPUTED_VALUE"""),"G. S. R")</f>
        <v>G. S. R</v>
      </c>
      <c r="E102" s="15" t="str">
        <f>IFERROR(__xludf.dummyfunction("""COMPUTED_VALUE"""),"14/04/2022")</f>
        <v>14/04/2022</v>
      </c>
      <c r="F102" s="15" t="str">
        <f>IFERROR(__xludf.dummyfunction("""COMPUTED_VALUE"""),"181******84")</f>
        <v>181******84</v>
      </c>
      <c r="G102" s="15" t="str">
        <f>IFERROR(__xludf.dummyfunction("""COMPUTED_VALUE"""),"INFANTIL 3")</f>
        <v>INFANTIL 3</v>
      </c>
      <c r="H102" s="15" t="str">
        <f>IFERROR(__xludf.dummyfunction("""COMPUTED_VALUE"""),"CEMEI PROFESSORA LINDOMAR DOMINGOS DA SILVA ANJOS")</f>
        <v>CEMEI PROFESSORA LINDOMAR DOMINGOS DA SILVA ANJOS</v>
      </c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5.75" customHeight="1" spans="1:25">
      <c r="A103" s="36" t="str">
        <f t="shared" si="6"/>
        <v>REGIONAL 5</v>
      </c>
      <c r="B103" s="15" t="str">
        <f>IFERROR(__xludf.dummyfunction("""COMPUTED_VALUE"""),"28/01/2026 15:27:57")</f>
        <v>28/01/2026 15:27:57</v>
      </c>
      <c r="C103" s="38" t="str">
        <f>IFERROR(__xludf.dummyfunction("""COMPUTED_VALUE"""),"7")</f>
        <v>7</v>
      </c>
      <c r="D103" s="15" t="str">
        <f>IFERROR(__xludf.dummyfunction("""COMPUTED_VALUE"""),"A. B. N. D. S")</f>
        <v>A. B. N. D. S</v>
      </c>
      <c r="E103" s="15" t="str">
        <f>IFERROR(__xludf.dummyfunction("""COMPUTED_VALUE"""),"19/04/2022")</f>
        <v>19/04/2022</v>
      </c>
      <c r="F103" s="15" t="str">
        <f>IFERROR(__xludf.dummyfunction("""COMPUTED_VALUE"""),"181******03")</f>
        <v>181******03</v>
      </c>
      <c r="G103" s="15" t="str">
        <f>IFERROR(__xludf.dummyfunction("""COMPUTED_VALUE"""),"INFANTIL 3")</f>
        <v>INFANTIL 3</v>
      </c>
      <c r="H103" s="15" t="str">
        <f>IFERROR(__xludf.dummyfunction("""COMPUTED_VALUE"""),"CEMEI PROFESSORA LINDOMAR DOMINGOS DA SILVA ANJOS")</f>
        <v>CEMEI PROFESSORA LINDOMAR DOMINGOS DA SILVA ANJOS</v>
      </c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5.75" customHeight="1" spans="1:25">
      <c r="A104" s="36" t="str">
        <f t="shared" si="6"/>
        <v>REGIONAL 5</v>
      </c>
      <c r="B104" s="15" t="str">
        <f>IFERROR(__xludf.dummyfunction("""COMPUTED_VALUE"""),"28/01/2026 16:26:14")</f>
        <v>28/01/2026 16:26:14</v>
      </c>
      <c r="C104" s="38" t="str">
        <f>IFERROR(__xludf.dummyfunction("""COMPUTED_VALUE"""),"8")</f>
        <v>8</v>
      </c>
      <c r="D104" s="15" t="str">
        <f>IFERROR(__xludf.dummyfunction("""COMPUTED_VALUE"""),"A. T. S. D. S")</f>
        <v>A. T. S. D. S</v>
      </c>
      <c r="E104" s="15" t="str">
        <f>IFERROR(__xludf.dummyfunction("""COMPUTED_VALUE"""),"13/12/2022")</f>
        <v>13/12/2022</v>
      </c>
      <c r="F104" s="15" t="str">
        <f>IFERROR(__xludf.dummyfunction("""COMPUTED_VALUE"""),"184******30")</f>
        <v>184******30</v>
      </c>
      <c r="G104" s="15" t="str">
        <f>IFERROR(__xludf.dummyfunction("""COMPUTED_VALUE"""),"INFANTIL 3")</f>
        <v>INFANTIL 3</v>
      </c>
      <c r="H104" s="15" t="str">
        <f>IFERROR(__xludf.dummyfunction("""COMPUTED_VALUE"""),"CEMEI PROFESSORA LINDOMAR DOMINGOS DA SILVA ANJOS")</f>
        <v>CEMEI PROFESSORA LINDOMAR DOMINGOS DA SILVA ANJOS</v>
      </c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5.75" customHeight="1" spans="1:25">
      <c r="A105" s="36" t="str">
        <f t="shared" si="6"/>
        <v>REGIONAL 5</v>
      </c>
      <c r="B105" s="15" t="str">
        <f>IFERROR(__xludf.dummyfunction("""COMPUTED_VALUE"""),"28/01/2026 22:31:23")</f>
        <v>28/01/2026 22:31:23</v>
      </c>
      <c r="C105" s="38" t="str">
        <f>IFERROR(__xludf.dummyfunction("""COMPUTED_VALUE"""),"9")</f>
        <v>9</v>
      </c>
      <c r="D105" s="15" t="str">
        <f>IFERROR(__xludf.dummyfunction("""COMPUTED_VALUE"""),"L. M. D. H. S")</f>
        <v>L. M. D. H. S</v>
      </c>
      <c r="E105" s="15" t="str">
        <f>IFERROR(__xludf.dummyfunction("""COMPUTED_VALUE"""),"26/12/2022")</f>
        <v>26/12/2022</v>
      </c>
      <c r="F105" s="15" t="str">
        <f>IFERROR(__xludf.dummyfunction("""COMPUTED_VALUE"""),"184******90")</f>
        <v>184******90</v>
      </c>
      <c r="G105" s="15" t="str">
        <f>IFERROR(__xludf.dummyfunction("""COMPUTED_VALUE"""),"INFANTIL 3")</f>
        <v>INFANTIL 3</v>
      </c>
      <c r="H105" s="15" t="str">
        <f>IFERROR(__xludf.dummyfunction("""COMPUTED_VALUE"""),"CEMEI PROFESSORA LINDOMAR DOMINGOS DA SILVA ANJOS")</f>
        <v>CEMEI PROFESSORA LINDOMAR DOMINGOS DA SILVA ANJOS</v>
      </c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5.75" customHeight="1" spans="1:25">
      <c r="A106" s="36" t="str">
        <f t="shared" si="6"/>
        <v>REGIONAL 5</v>
      </c>
      <c r="B106" s="15" t="str">
        <f>IFERROR(__xludf.dummyfunction("""COMPUTED_VALUE"""),"29/01/2026 13:04:58")</f>
        <v>29/01/2026 13:04:58</v>
      </c>
      <c r="C106" s="38" t="str">
        <f>IFERROR(__xludf.dummyfunction("""COMPUTED_VALUE"""),"10")</f>
        <v>10</v>
      </c>
      <c r="D106" s="15" t="str">
        <f>IFERROR(__xludf.dummyfunction("""COMPUTED_VALUE"""),"G. A. G. D. S")</f>
        <v>G. A. G. D. S</v>
      </c>
      <c r="E106" s="15" t="str">
        <f>IFERROR(__xludf.dummyfunction("""COMPUTED_VALUE"""),"19/02/2023")</f>
        <v>19/02/2023</v>
      </c>
      <c r="F106" s="15" t="str">
        <f>IFERROR(__xludf.dummyfunction("""COMPUTED_VALUE"""),"184******99")</f>
        <v>184******99</v>
      </c>
      <c r="G106" s="15" t="str">
        <f>IFERROR(__xludf.dummyfunction("""COMPUTED_VALUE"""),"INFANTIL 3")</f>
        <v>INFANTIL 3</v>
      </c>
      <c r="H106" s="15" t="str">
        <f>IFERROR(__xludf.dummyfunction("""COMPUTED_VALUE"""),"CEMEI PROFESSORA LINDOMAR DOMINGOS DA SILVA ANJOS")</f>
        <v>CEMEI PROFESSORA LINDOMAR DOMINGOS DA SILVA ANJOS</v>
      </c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5.75" customHeight="1" spans="1:25">
      <c r="A107" s="36" t="str">
        <f t="shared" si="6"/>
        <v>REGIONAL 5</v>
      </c>
      <c r="B107" s="15" t="str">
        <f>IFERROR(__xludf.dummyfunction("""COMPUTED_VALUE"""),"29/01/2026 14:26:01")</f>
        <v>29/01/2026 14:26:01</v>
      </c>
      <c r="C107" s="38" t="str">
        <f>IFERROR(__xludf.dummyfunction("""COMPUTED_VALUE"""),"11")</f>
        <v>11</v>
      </c>
      <c r="D107" s="15" t="str">
        <f>IFERROR(__xludf.dummyfunction("""COMPUTED_VALUE"""),"I. M. C. G")</f>
        <v>I. M. C. G</v>
      </c>
      <c r="E107" s="15" t="str">
        <f>IFERROR(__xludf.dummyfunction("""COMPUTED_VALUE"""),"18/02/2023")</f>
        <v>18/02/2023</v>
      </c>
      <c r="F107" s="15" t="str">
        <f>IFERROR(__xludf.dummyfunction("""COMPUTED_VALUE"""),"185******45")</f>
        <v>185******45</v>
      </c>
      <c r="G107" s="15" t="str">
        <f>IFERROR(__xludf.dummyfunction("""COMPUTED_VALUE"""),"INFANTIL 3")</f>
        <v>INFANTIL 3</v>
      </c>
      <c r="H107" s="15" t="str">
        <f>IFERROR(__xludf.dummyfunction("""COMPUTED_VALUE"""),"CEMEI PROFESSORA LINDOMAR DOMINGOS DA SILVA ANJOS")</f>
        <v>CEMEI PROFESSORA LINDOMAR DOMINGOS DA SILVA ANJOS</v>
      </c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5.75" customHeight="1" spans="1:25">
      <c r="A108" s="36" t="str">
        <f t="shared" si="6"/>
        <v>REGIONAL 5</v>
      </c>
      <c r="B108" s="15" t="str">
        <f>IFERROR(__xludf.dummyfunction("""COMPUTED_VALUE"""),"01/02/2026 17:23:13")</f>
        <v>01/02/2026 17:23:13</v>
      </c>
      <c r="C108" s="38" t="str">
        <f>IFERROR(__xludf.dummyfunction("""COMPUTED_VALUE"""),"12")</f>
        <v>12</v>
      </c>
      <c r="D108" s="15" t="str">
        <f>IFERROR(__xludf.dummyfunction("""COMPUTED_VALUE"""),"T. H. G. D. S")</f>
        <v>T. H. G. D. S</v>
      </c>
      <c r="E108" s="15" t="str">
        <f>IFERROR(__xludf.dummyfunction("""COMPUTED_VALUE"""),"18/07/2022")</f>
        <v>18/07/2022</v>
      </c>
      <c r="F108" s="15" t="str">
        <f>IFERROR(__xludf.dummyfunction("""COMPUTED_VALUE"""),"182******13")</f>
        <v>182******13</v>
      </c>
      <c r="G108" s="15" t="str">
        <f>IFERROR(__xludf.dummyfunction("""COMPUTED_VALUE"""),"INFANTIL 3")</f>
        <v>INFANTIL 3</v>
      </c>
      <c r="H108" s="15" t="str">
        <f>IFERROR(__xludf.dummyfunction("""COMPUTED_VALUE"""),"CEMEI PROFESSORA LINDOMAR DOMINGOS DA SILVA ANJOS")</f>
        <v>CEMEI PROFESSORA LINDOMAR DOMINGOS DA SILVA ANJOS</v>
      </c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5.75" customHeight="1" spans="1:25">
      <c r="A109" s="36" t="str">
        <f t="shared" si="6"/>
        <v>REGIONAL 5</v>
      </c>
      <c r="B109" s="15" t="str">
        <f>IFERROR(__xludf.dummyfunction("""COMPUTED_VALUE"""),"02/02/2026 08:52:36")</f>
        <v>02/02/2026 08:52:36</v>
      </c>
      <c r="C109" s="38" t="str">
        <f>IFERROR(__xludf.dummyfunction("""COMPUTED_VALUE"""),"13")</f>
        <v>13</v>
      </c>
      <c r="D109" s="15" t="str">
        <f>IFERROR(__xludf.dummyfunction("""COMPUTED_VALUE"""),"N. S. N")</f>
        <v>N. S. N</v>
      </c>
      <c r="E109" s="15" t="str">
        <f>IFERROR(__xludf.dummyfunction("""COMPUTED_VALUE"""),"20/09/2022")</f>
        <v>20/09/2022</v>
      </c>
      <c r="F109" s="15" t="str">
        <f>IFERROR(__xludf.dummyfunction("""COMPUTED_VALUE"""),"231******48")</f>
        <v>231******48</v>
      </c>
      <c r="G109" s="15" t="str">
        <f>IFERROR(__xludf.dummyfunction("""COMPUTED_VALUE"""),"INFANTIL 3")</f>
        <v>INFANTIL 3</v>
      </c>
      <c r="H109" s="15" t="str">
        <f>IFERROR(__xludf.dummyfunction("""COMPUTED_VALUE"""),"CEMEI PROFESSORA LINDOMAR DOMINGOS DA SILVA ANJOS")</f>
        <v>CEMEI PROFESSORA LINDOMAR DOMINGOS DA SILVA ANJOS</v>
      </c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5.75" customHeight="1" spans="1:25">
      <c r="A110" s="36" t="str">
        <f t="shared" si="6"/>
        <v>REGIONAL 5</v>
      </c>
      <c r="B110" s="15" t="str">
        <f>IFERROR(__xludf.dummyfunction("""COMPUTED_VALUE"""),"04/02/2026 14:48:24")</f>
        <v>04/02/2026 14:48:24</v>
      </c>
      <c r="C110" s="38" t="str">
        <f>IFERROR(__xludf.dummyfunction("""COMPUTED_VALUE"""),"14")</f>
        <v>14</v>
      </c>
      <c r="D110" s="15" t="str">
        <f>IFERROR(__xludf.dummyfunction("""COMPUTED_VALUE"""),"R. L. A. D. S")</f>
        <v>R. L. A. D. S</v>
      </c>
      <c r="E110" s="15" t="str">
        <f>IFERROR(__xludf.dummyfunction("""COMPUTED_VALUE"""),"06/03/2023")</f>
        <v>06/03/2023</v>
      </c>
      <c r="F110" s="15" t="str">
        <f>IFERROR(__xludf.dummyfunction("""COMPUTED_VALUE"""),"184******04")</f>
        <v>184******04</v>
      </c>
      <c r="G110" s="15" t="str">
        <f>IFERROR(__xludf.dummyfunction("""COMPUTED_VALUE"""),"INFANTIL 3")</f>
        <v>INFANTIL 3</v>
      </c>
      <c r="H110" s="15" t="str">
        <f>IFERROR(__xludf.dummyfunction("""COMPUTED_VALUE"""),"CEMEI PROFESSORA LINDOMAR DOMINGOS DA SILVA ANJOS")</f>
        <v>CEMEI PROFESSORA LINDOMAR DOMINGOS DA SILVA ANJOS</v>
      </c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5.75" customHeight="1" spans="1:25">
      <c r="A111" s="36" t="str">
        <f t="shared" si="6"/>
        <v>REGIONAL 5</v>
      </c>
      <c r="B111" s="15" t="str">
        <f>IFERROR(__xludf.dummyfunction("""COMPUTED_VALUE"""),"05/02/2026 15:38:25")</f>
        <v>05/02/2026 15:38:25</v>
      </c>
      <c r="C111" s="38" t="str">
        <f>IFERROR(__xludf.dummyfunction("""COMPUTED_VALUE"""),"15")</f>
        <v>15</v>
      </c>
      <c r="D111" s="15" t="str">
        <f>IFERROR(__xludf.dummyfunction("""COMPUTED_VALUE"""),"A. L. M. S. D. S")</f>
        <v>A. L. M. S. D. S</v>
      </c>
      <c r="E111" s="15" t="str">
        <f>IFERROR(__xludf.dummyfunction("""COMPUTED_VALUE"""),"13/06/2022")</f>
        <v>13/06/2022</v>
      </c>
      <c r="F111" s="15" t="str">
        <f>IFERROR(__xludf.dummyfunction("""COMPUTED_VALUE"""),"181******47")</f>
        <v>181******47</v>
      </c>
      <c r="G111" s="15" t="str">
        <f>IFERROR(__xludf.dummyfunction("""COMPUTED_VALUE"""),"INFANTIL 3")</f>
        <v>INFANTIL 3</v>
      </c>
      <c r="H111" s="15" t="str">
        <f>IFERROR(__xludf.dummyfunction("""COMPUTED_VALUE"""),"CEMEI PROFESSORA LINDOMAR DOMINGOS DA SILVA ANJOS")</f>
        <v>CEMEI PROFESSORA LINDOMAR DOMINGOS DA SILVA ANJOS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5.75" customHeight="1" spans="1:25">
      <c r="A112" s="36" t="str">
        <f t="shared" si="6"/>
        <v>REGIONAL 5</v>
      </c>
      <c r="B112" s="15" t="str">
        <f>IFERROR(__xludf.dummyfunction("""COMPUTED_VALUE"""),"06/02/2026 15:36:56")</f>
        <v>06/02/2026 15:36:56</v>
      </c>
      <c r="C112" s="38" t="str">
        <f>IFERROR(__xludf.dummyfunction("""COMPUTED_VALUE"""),"16")</f>
        <v>16</v>
      </c>
      <c r="D112" s="15" t="str">
        <f>IFERROR(__xludf.dummyfunction("""COMPUTED_VALUE"""),"M. B. D. S")</f>
        <v>M. B. D. S</v>
      </c>
      <c r="E112" s="15" t="str">
        <f>IFERROR(__xludf.dummyfunction("""COMPUTED_VALUE"""),"13/11/2022")</f>
        <v>13/11/2022</v>
      </c>
      <c r="F112" s="15" t="str">
        <f>IFERROR(__xludf.dummyfunction("""COMPUTED_VALUE"""),"183******21")</f>
        <v>183******21</v>
      </c>
      <c r="G112" s="15" t="str">
        <f>IFERROR(__xludf.dummyfunction("""COMPUTED_VALUE"""),"INFANTIL 3")</f>
        <v>INFANTIL 3</v>
      </c>
      <c r="H112" s="15" t="str">
        <f>IFERROR(__xludf.dummyfunction("""COMPUTED_VALUE"""),"CEMEI PROFESSORA LINDOMAR DOMINGOS DA SILVA ANJOS")</f>
        <v>CEMEI PROFESSORA LINDOMAR DOMINGOS DA SILVA ANJOS</v>
      </c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5.75" customHeight="1" spans="1:25">
      <c r="A113" s="36" t="str">
        <f t="shared" si="6"/>
        <v>REGIONAL 5</v>
      </c>
      <c r="B113" s="15" t="str">
        <f>IFERROR(__xludf.dummyfunction("""COMPUTED_VALUE"""),"10/02/2026 09:04:52")</f>
        <v>10/02/2026 09:04:52</v>
      </c>
      <c r="C113" s="38" t="str">
        <f>IFERROR(__xludf.dummyfunction("""COMPUTED_VALUE"""),"17")</f>
        <v>17</v>
      </c>
      <c r="D113" s="15" t="str">
        <f>IFERROR(__xludf.dummyfunction("""COMPUTED_VALUE"""),"A. C. M. S. D. S")</f>
        <v>A. C. M. S. D. S</v>
      </c>
      <c r="E113" s="15" t="str">
        <f>IFERROR(__xludf.dummyfunction("""COMPUTED_VALUE"""),"13/06/2022")</f>
        <v>13/06/2022</v>
      </c>
      <c r="F113" s="15" t="str">
        <f>IFERROR(__xludf.dummyfunction("""COMPUTED_VALUE"""),"181******43")</f>
        <v>181******43</v>
      </c>
      <c r="G113" s="15" t="str">
        <f>IFERROR(__xludf.dummyfunction("""COMPUTED_VALUE"""),"INFANTIL 3")</f>
        <v>INFANTIL 3</v>
      </c>
      <c r="H113" s="15" t="str">
        <f>IFERROR(__xludf.dummyfunction("""COMPUTED_VALUE"""),"CEMEI PROFESSORA LINDOMAR DOMINGOS DA SILVA ANJOS")</f>
        <v>CEMEI PROFESSORA LINDOMAR DOMINGOS DA SILVA ANJOS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5.75" customHeight="1" spans="1:25">
      <c r="A114" s="36" t="str">
        <f t="shared" si="6"/>
        <v>REGIONAL 5</v>
      </c>
      <c r="B114" s="15" t="str">
        <f>IFERROR(__xludf.dummyfunction("""COMPUTED_VALUE"""),"10/02/2026 10:01:04")</f>
        <v>10/02/2026 10:01:04</v>
      </c>
      <c r="C114" s="38" t="str">
        <f>IFERROR(__xludf.dummyfunction("""COMPUTED_VALUE"""),"18")</f>
        <v>18</v>
      </c>
      <c r="D114" s="15" t="str">
        <f>IFERROR(__xludf.dummyfunction("""COMPUTED_VALUE"""),"R. V. D. S. M")</f>
        <v>R. V. D. S. M</v>
      </c>
      <c r="E114" s="15" t="str">
        <f>IFERROR(__xludf.dummyfunction("""COMPUTED_VALUE"""),"22/08/2022")</f>
        <v>22/08/2022</v>
      </c>
      <c r="F114" s="15" t="str">
        <f>IFERROR(__xludf.dummyfunction("""COMPUTED_VALUE"""),"182******47")</f>
        <v>182******47</v>
      </c>
      <c r="G114" s="15" t="str">
        <f>IFERROR(__xludf.dummyfunction("""COMPUTED_VALUE"""),"INFANTIL 3")</f>
        <v>INFANTIL 3</v>
      </c>
      <c r="H114" s="15" t="str">
        <f>IFERROR(__xludf.dummyfunction("""COMPUTED_VALUE"""),"CEMEI PROFESSORA LINDOMAR DOMINGOS DA SILVA ANJOS")</f>
        <v>CEMEI PROFESSORA LINDOMAR DOMINGOS DA SILVA ANJOS</v>
      </c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5.75" customHeight="1" spans="1:25">
      <c r="A115" s="36" t="str">
        <f t="shared" si="6"/>
        <v>REGIONAL 5</v>
      </c>
      <c r="B115" s="15" t="str">
        <f>IFERROR(__xludf.dummyfunction("""COMPUTED_VALUE"""),"19/02/2026 09:51:04")</f>
        <v>19/02/2026 09:51:04</v>
      </c>
      <c r="C115" s="38" t="str">
        <f>IFERROR(__xludf.dummyfunction("""COMPUTED_VALUE"""),"19")</f>
        <v>19</v>
      </c>
      <c r="D115" s="15" t="str">
        <f>IFERROR(__xludf.dummyfunction("""COMPUTED_VALUE"""),"A. L. B. S")</f>
        <v>A. L. B. S</v>
      </c>
      <c r="E115" s="15" t="str">
        <f>IFERROR(__xludf.dummyfunction("""COMPUTED_VALUE"""),"28/08/2022")</f>
        <v>28/08/2022</v>
      </c>
      <c r="F115" s="15" t="str">
        <f>IFERROR(__xludf.dummyfunction("""COMPUTED_VALUE"""),"183******41")</f>
        <v>183******41</v>
      </c>
      <c r="G115" s="15" t="str">
        <f>IFERROR(__xludf.dummyfunction("""COMPUTED_VALUE"""),"INFANTIL 3")</f>
        <v>INFANTIL 3</v>
      </c>
      <c r="H115" s="15" t="str">
        <f>IFERROR(__xludf.dummyfunction("""COMPUTED_VALUE"""),"CEMEI PROFESSORA LINDOMAR DOMINGOS DA SILVA ANJOS")</f>
        <v>CEMEI PROFESSORA LINDOMAR DOMINGOS DA SILVA ANJOS</v>
      </c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5.75" customHeight="1" spans="1:25">
      <c r="A116" s="36" t="str">
        <f t="shared" si="6"/>
        <v>REGIONAL 5</v>
      </c>
      <c r="B116" s="15" t="str">
        <f>IFERROR(__xludf.dummyfunction("""COMPUTED_VALUE"""),"19/02/2026 16:10:29")</f>
        <v>19/02/2026 16:10:29</v>
      </c>
      <c r="C116" s="38" t="str">
        <f>IFERROR(__xludf.dummyfunction("""COMPUTED_VALUE"""),"20")</f>
        <v>20</v>
      </c>
      <c r="D116" s="15" t="str">
        <f>IFERROR(__xludf.dummyfunction("""COMPUTED_VALUE"""),"L. F. L")</f>
        <v>L. F. L</v>
      </c>
      <c r="E116" s="15" t="str">
        <f>IFERROR(__xludf.dummyfunction("""COMPUTED_VALUE"""),"19/07/2022")</f>
        <v>19/07/2022</v>
      </c>
      <c r="F116" s="15" t="str">
        <f>IFERROR(__xludf.dummyfunction("""COMPUTED_VALUE"""),"182******54")</f>
        <v>182******54</v>
      </c>
      <c r="G116" s="15" t="str">
        <f>IFERROR(__xludf.dummyfunction("""COMPUTED_VALUE"""),"INFANTIL 3")</f>
        <v>INFANTIL 3</v>
      </c>
      <c r="H116" s="15" t="str">
        <f>IFERROR(__xludf.dummyfunction("""COMPUTED_VALUE"""),"CEMEI PROFESSORA LINDOMAR DOMINGOS DA SILVA ANJOS")</f>
        <v>CEMEI PROFESSORA LINDOMAR DOMINGOS DA SILVA ANJOS</v>
      </c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5.75" customHeight="1" spans="1:25">
      <c r="A117" s="36" t="str">
        <f t="shared" si="6"/>
        <v>REGIONAL 5</v>
      </c>
      <c r="B117" s="15" t="str">
        <f>IFERROR(__xludf.dummyfunction("""COMPUTED_VALUE"""),"03/03/2026 13:51:57")</f>
        <v>03/03/2026 13:51:57</v>
      </c>
      <c r="C117" s="38" t="str">
        <f>IFERROR(__xludf.dummyfunction("""COMPUTED_VALUE"""),"21")</f>
        <v>21</v>
      </c>
      <c r="D117" s="15" t="str">
        <f>IFERROR(__xludf.dummyfunction("""COMPUTED_VALUE"""),"T. R. D. D. M")</f>
        <v>T. R. D. D. M</v>
      </c>
      <c r="E117" s="15" t="str">
        <f>IFERROR(__xludf.dummyfunction("""COMPUTED_VALUE"""),"15/03/2023")</f>
        <v>15/03/2023</v>
      </c>
      <c r="F117" s="15" t="str">
        <f>IFERROR(__xludf.dummyfunction("""COMPUTED_VALUE"""),"184******07")</f>
        <v>184******07</v>
      </c>
      <c r="G117" s="15" t="str">
        <f>IFERROR(__xludf.dummyfunction("""COMPUTED_VALUE"""),"INFANTIL 3")</f>
        <v>INFANTIL 3</v>
      </c>
      <c r="H117" s="15" t="str">
        <f>IFERROR(__xludf.dummyfunction("""COMPUTED_VALUE"""),"CEMEI PROFESSORA LINDOMAR DOMINGOS DA SILVA ANJOS")</f>
        <v>CEMEI PROFESSORA LINDOMAR DOMINGOS DA SILVA ANJOS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5.75" customHeight="1" spans="1:25">
      <c r="A118" s="36" t="str">
        <f t="shared" si="6"/>
        <v>REGIONAL 5</v>
      </c>
      <c r="B118" s="15" t="str">
        <f>IFERROR(__xludf.dummyfunction("""COMPUTED_VALUE"""),"24/03/2026 15:33:58")</f>
        <v>24/03/2026 15:33:58</v>
      </c>
      <c r="C118" s="38" t="str">
        <f>IFERROR(__xludf.dummyfunction("""COMPUTED_VALUE"""),"22")</f>
        <v>22</v>
      </c>
      <c r="D118" s="15" t="str">
        <f>IFERROR(__xludf.dummyfunction("""COMPUTED_VALUE"""),"A. V. C. D. S")</f>
        <v>A. V. C. D. S</v>
      </c>
      <c r="E118" s="15" t="str">
        <f>IFERROR(__xludf.dummyfunction("""COMPUTED_VALUE"""),"06/10/2022")</f>
        <v>06/10/2022</v>
      </c>
      <c r="F118" s="15" t="str">
        <f>IFERROR(__xludf.dummyfunction("""COMPUTED_VALUE"""),"093******73")</f>
        <v>093******73</v>
      </c>
      <c r="G118" s="15" t="str">
        <f>IFERROR(__xludf.dummyfunction("""COMPUTED_VALUE"""),"INFANTIL 3")</f>
        <v>INFANTIL 3</v>
      </c>
      <c r="H118" s="15" t="str">
        <f>IFERROR(__xludf.dummyfunction("""COMPUTED_VALUE"""),"CEMEI PROFESSORA LINDOMAR DOMINGOS DA SILVA ANJOS")</f>
        <v>CEMEI PROFESSORA LINDOMAR DOMINGOS DA SILVA ANJOS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5.75" customHeight="1" spans="1:25">
      <c r="A119" s="36" t="str">
        <f t="shared" si="6"/>
        <v>REGIONAL 5</v>
      </c>
      <c r="B119" s="15" t="str">
        <f>IFERROR(__xludf.dummyfunction("""COMPUTED_VALUE"""),"09/04/2026 12:42:59")</f>
        <v>09/04/2026 12:42:59</v>
      </c>
      <c r="C119" s="38" t="str">
        <f>IFERROR(__xludf.dummyfunction("""COMPUTED_VALUE"""),"23")</f>
        <v>23</v>
      </c>
      <c r="D119" s="15" t="str">
        <f>IFERROR(__xludf.dummyfunction("""COMPUTED_VALUE"""),"T. E. D. S")</f>
        <v>T. E. D. S</v>
      </c>
      <c r="E119" s="15" t="str">
        <f>IFERROR(__xludf.dummyfunction("""COMPUTED_VALUE"""),"28/09/2022")</f>
        <v>28/09/2022</v>
      </c>
      <c r="F119" s="15" t="str">
        <f>IFERROR(__xludf.dummyfunction("""COMPUTED_VALUE"""),"183******73")</f>
        <v>183******73</v>
      </c>
      <c r="G119" s="15" t="str">
        <f>IFERROR(__xludf.dummyfunction("""COMPUTED_VALUE"""),"INFANTIL 3")</f>
        <v>INFANTIL 3</v>
      </c>
      <c r="H119" s="15" t="str">
        <f>IFERROR(__xludf.dummyfunction("""COMPUTED_VALUE"""),"CEMEI PROFESSORA LINDOMAR DOMINGOS DA SILVA ANJOS")</f>
        <v>CEMEI PROFESSORA LINDOMAR DOMINGOS DA SILVA ANJOS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5.75" customHeight="1" spans="1:25">
      <c r="A120" s="36" t="str">
        <f t="shared" si="6"/>
        <v>REGIONAL 5</v>
      </c>
      <c r="B120" s="15" t="str">
        <f>IFERROR(__xludf.dummyfunction("""COMPUTED_VALUE"""),"15/04/2026 12:12:34")</f>
        <v>15/04/2026 12:12:34</v>
      </c>
      <c r="C120" s="38" t="str">
        <f>IFERROR(__xludf.dummyfunction("""COMPUTED_VALUE"""),"24")</f>
        <v>24</v>
      </c>
      <c r="D120" s="15" t="str">
        <f>IFERROR(__xludf.dummyfunction("""COMPUTED_VALUE"""),"L. M. M. D. C")</f>
        <v>L. M. M. D. C</v>
      </c>
      <c r="E120" s="15" t="str">
        <f>IFERROR(__xludf.dummyfunction("""COMPUTED_VALUE"""),"15/05/2022")</f>
        <v>15/05/2022</v>
      </c>
      <c r="F120" s="15" t="str">
        <f>IFERROR(__xludf.dummyfunction("""COMPUTED_VALUE"""),"181******39")</f>
        <v>181******39</v>
      </c>
      <c r="G120" s="15" t="str">
        <f>IFERROR(__xludf.dummyfunction("""COMPUTED_VALUE"""),"INFANTIL 3")</f>
        <v>INFANTIL 3</v>
      </c>
      <c r="H120" s="15" t="str">
        <f>IFERROR(__xludf.dummyfunction("""COMPUTED_VALUE"""),"CEMEI PROFESSORA LINDOMAR DOMINGOS DA SILVA ANJOS")</f>
        <v>CEMEI PROFESSORA LINDOMAR DOMINGOS DA SILVA ANJOS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5.75" customHeight="1" spans="1:25">
      <c r="A121" s="36" t="str">
        <f t="shared" si="6"/>
        <v>REGIONAL 5</v>
      </c>
      <c r="B121" s="15" t="str">
        <f>IFERROR(__xludf.dummyfunction("""COMPUTED_VALUE"""),"15/04/2026 20:08:01")</f>
        <v>15/04/2026 20:08:01</v>
      </c>
      <c r="C121" s="38" t="str">
        <f>IFERROR(__xludf.dummyfunction("""COMPUTED_VALUE"""),"25")</f>
        <v>25</v>
      </c>
      <c r="D121" s="15" t="str">
        <f>IFERROR(__xludf.dummyfunction("""COMPUTED_VALUE"""),"M. L. V. D. S")</f>
        <v>M. L. V. D. S</v>
      </c>
      <c r="E121" s="15" t="str">
        <f>IFERROR(__xludf.dummyfunction("""COMPUTED_VALUE"""),"06/03/2023")</f>
        <v>06/03/2023</v>
      </c>
      <c r="F121" s="15" t="str">
        <f>IFERROR(__xludf.dummyfunction("""COMPUTED_VALUE"""),"184******09")</f>
        <v>184******09</v>
      </c>
      <c r="G121" s="15" t="str">
        <f>IFERROR(__xludf.dummyfunction("""COMPUTED_VALUE"""),"INFANTIL 3")</f>
        <v>INFANTIL 3</v>
      </c>
      <c r="H121" s="15" t="str">
        <f>IFERROR(__xludf.dummyfunction("""COMPUTED_VALUE"""),"CEMEI PROFESSORA LINDOMAR DOMINGOS DA SILVA ANJOS")</f>
        <v>CEMEI PROFESSORA LINDOMAR DOMINGOS DA SILVA ANJOS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5.75" customHeight="1" spans="1:25">
      <c r="A122" s="36" t="str">
        <f t="shared" si="6"/>
        <v>REGIONAL 5</v>
      </c>
      <c r="B122" s="15" t="str">
        <f>IFERROR(__xludf.dummyfunction("""COMPUTED_VALUE"""),"24/04/2026 15:30:49")</f>
        <v>24/04/2026 15:30:49</v>
      </c>
      <c r="C122" s="38" t="str">
        <f>IFERROR(__xludf.dummyfunction("""COMPUTED_VALUE"""),"26")</f>
        <v>26</v>
      </c>
      <c r="D122" s="15" t="str">
        <f>IFERROR(__xludf.dummyfunction("""COMPUTED_VALUE"""),"L. G. D. S. M")</f>
        <v>L. G. D. S. M</v>
      </c>
      <c r="E122" s="15" t="str">
        <f>IFERROR(__xludf.dummyfunction("""COMPUTED_VALUE"""),"27/07/2022")</f>
        <v>27/07/2022</v>
      </c>
      <c r="F122" s="15" t="str">
        <f>IFERROR(__xludf.dummyfunction("""COMPUTED_VALUE"""),"182******80")</f>
        <v>182******80</v>
      </c>
      <c r="G122" s="15" t="str">
        <f>IFERROR(__xludf.dummyfunction("""COMPUTED_VALUE"""),"INFANTIL 3")</f>
        <v>INFANTIL 3</v>
      </c>
      <c r="H122" s="15" t="str">
        <f>IFERROR(__xludf.dummyfunction("""COMPUTED_VALUE"""),"CEMEI PROFESSORA LINDOMAR DOMINGOS DA SILVA ANJOS")</f>
        <v>CEMEI PROFESSORA LINDOMAR DOMINGOS DA SILVA ANJOS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5.75" customHeight="1" spans="1:25">
      <c r="A123" s="36" t="str">
        <f t="shared" si="6"/>
        <v>REGIONAL 5</v>
      </c>
      <c r="B123" s="15" t="str">
        <f>IFERROR(__xludf.dummyfunction("""COMPUTED_VALUE"""),"13/05/2026 09:51:31")</f>
        <v>13/05/2026 09:51:31</v>
      </c>
      <c r="C123" s="38" t="str">
        <f>IFERROR(__xludf.dummyfunction("""COMPUTED_VALUE"""),"27")</f>
        <v>27</v>
      </c>
      <c r="D123" s="15" t="str">
        <f>IFERROR(__xludf.dummyfunction("""COMPUTED_VALUE"""),"A. T. M. D. N")</f>
        <v>A. T. M. D. N</v>
      </c>
      <c r="E123" s="15" t="str">
        <f>IFERROR(__xludf.dummyfunction("""COMPUTED_VALUE"""),"23/02/2023")</f>
        <v>23/02/2023</v>
      </c>
      <c r="F123" s="15" t="str">
        <f>IFERROR(__xludf.dummyfunction("""COMPUTED_VALUE"""),"608******29")</f>
        <v>608******29</v>
      </c>
      <c r="G123" s="15" t="str">
        <f>IFERROR(__xludf.dummyfunction("""COMPUTED_VALUE"""),"INFANTIL 3")</f>
        <v>INFANTIL 3</v>
      </c>
      <c r="H123" s="15" t="str">
        <f>IFERROR(__xludf.dummyfunction("""COMPUTED_VALUE"""),"CEMEI PROFESSORA LINDOMAR DOMINGOS DA SILVA ANJOS")</f>
        <v>CEMEI PROFESSORA LINDOMAR DOMINGOS DA SILVA ANJOS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5.75" customHeight="1" spans="1:25">
      <c r="A124" s="36" t="str">
        <f t="shared" si="6"/>
        <v>REGIONAL 5</v>
      </c>
      <c r="B124" s="15" t="str">
        <f>IFERROR(__xludf.dummyfunction("""COMPUTED_VALUE"""),"23/05/2026 20:29:57")</f>
        <v>23/05/2026 20:29:57</v>
      </c>
      <c r="C124" s="38" t="str">
        <f>IFERROR(__xludf.dummyfunction("""COMPUTED_VALUE"""),"28")</f>
        <v>28</v>
      </c>
      <c r="D124" s="15" t="str">
        <f>IFERROR(__xludf.dummyfunction("""COMPUTED_VALUE"""),"H. M. A. T. M")</f>
        <v>H. M. A. T. M</v>
      </c>
      <c r="E124" s="15" t="str">
        <f>IFERROR(__xludf.dummyfunction("""COMPUTED_VALUE"""),"03/11/2022")</f>
        <v>03/11/2022</v>
      </c>
      <c r="F124" s="15" t="str">
        <f>IFERROR(__xludf.dummyfunction("""COMPUTED_VALUE"""),"183******40")</f>
        <v>183******40</v>
      </c>
      <c r="G124" s="15" t="str">
        <f>IFERROR(__xludf.dummyfunction("""COMPUTED_VALUE"""),"INFANTIL 3")</f>
        <v>INFANTIL 3</v>
      </c>
      <c r="H124" s="15" t="str">
        <f>IFERROR(__xludf.dummyfunction("""COMPUTED_VALUE"""),"CEMEI PROFESSORA LINDOMAR DOMINGOS DA SILVA ANJOS")</f>
        <v>CEMEI PROFESSORA LINDOMAR DOMINGOS DA SILVA ANJOS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5.75" customHeight="1" spans="1:25">
      <c r="A125" s="36" t="str">
        <f t="shared" si="6"/>
        <v>REGIONAL 5</v>
      </c>
      <c r="B125" s="15" t="str">
        <f>IFERROR(__xludf.dummyfunction("""COMPUTED_VALUE"""),"01/06/2026 08:29:45")</f>
        <v>01/06/2026 08:29:45</v>
      </c>
      <c r="C125" s="38" t="str">
        <f>IFERROR(__xludf.dummyfunction("""COMPUTED_VALUE"""),"29")</f>
        <v>29</v>
      </c>
      <c r="D125" s="15" t="str">
        <f>IFERROR(__xludf.dummyfunction("""COMPUTED_VALUE"""),"B. D. D. A")</f>
        <v>B. D. D. A</v>
      </c>
      <c r="E125" s="15" t="str">
        <f>IFERROR(__xludf.dummyfunction("""COMPUTED_VALUE"""),"29/07/2022")</f>
        <v>29/07/2022</v>
      </c>
      <c r="F125" s="15" t="str">
        <f>IFERROR(__xludf.dummyfunction("""COMPUTED_VALUE"""),"182******60")</f>
        <v>182******60</v>
      </c>
      <c r="G125" s="15" t="str">
        <f>IFERROR(__xludf.dummyfunction("""COMPUTED_VALUE"""),"INFANTIL 3")</f>
        <v>INFANTIL 3</v>
      </c>
      <c r="H125" s="15" t="str">
        <f>IFERROR(__xludf.dummyfunction("""COMPUTED_VALUE"""),"CEMEI PROFESSORA LINDOMAR DOMINGOS DA SILVA ANJOS")</f>
        <v>CEMEI PROFESSORA LINDOMAR DOMINGOS DA SILVA ANJOS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ht="15.75" customHeight="1" spans="1:25">
      <c r="A126" s="36" t="str">
        <f t="shared" si="6"/>
        <v>REGIONAL 5</v>
      </c>
      <c r="B126" s="15" t="str">
        <f>IFERROR(__xludf.dummyfunction("""COMPUTED_VALUE"""),"08/06/2026 14:32:49")</f>
        <v>08/06/2026 14:32:49</v>
      </c>
      <c r="C126" s="38" t="str">
        <f>IFERROR(__xludf.dummyfunction("""COMPUTED_VALUE"""),"30")</f>
        <v>30</v>
      </c>
      <c r="D126" s="15" t="str">
        <f>IFERROR(__xludf.dummyfunction("""COMPUTED_VALUE"""),"E. T. S. d. M")</f>
        <v>E. T. S. d. M</v>
      </c>
      <c r="E126" s="15" t="str">
        <f>IFERROR(__xludf.dummyfunction("""COMPUTED_VALUE"""),"17/05/2022")</f>
        <v>17/05/2022</v>
      </c>
      <c r="F126" s="15" t="str">
        <f>IFERROR(__xludf.dummyfunction("""COMPUTED_VALUE"""),"181******02")</f>
        <v>181******02</v>
      </c>
      <c r="G126" s="15" t="str">
        <f>IFERROR(__xludf.dummyfunction("""COMPUTED_VALUE"""),"INFANTIL 3")</f>
        <v>INFANTIL 3</v>
      </c>
      <c r="H126" s="15" t="str">
        <f>IFERROR(__xludf.dummyfunction("""COMPUTED_VALUE"""),"CEMEI PROFESSORA LINDOMAR DOMINGOS DA SILVA ANJOS")</f>
        <v>CEMEI PROFESSORA LINDOMAR DOMINGOS DA SILVA ANJOS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ht="15.75" customHeight="1" spans="1:25">
      <c r="A127" s="36" t="str">
        <f t="shared" si="6"/>
        <v>REGIONAL 5</v>
      </c>
      <c r="B127" s="15" t="str">
        <f>IFERROR(__xludf.dummyfunction("""COMPUTED_VALUE"""),"11/06/2026 11:18:56")</f>
        <v>11/06/2026 11:18:56</v>
      </c>
      <c r="C127" s="38" t="str">
        <f>IFERROR(__xludf.dummyfunction("""COMPUTED_VALUE"""),"31")</f>
        <v>31</v>
      </c>
      <c r="D127" s="15" t="str">
        <f>IFERROR(__xludf.dummyfunction("""COMPUTED_VALUE"""),"A. C. D. S")</f>
        <v>A. C. D. S</v>
      </c>
      <c r="E127" s="15" t="str">
        <f>IFERROR(__xludf.dummyfunction("""COMPUTED_VALUE"""),"12/01/2023")</f>
        <v>12/01/2023</v>
      </c>
      <c r="F127" s="15" t="str">
        <f>IFERROR(__xludf.dummyfunction("""COMPUTED_VALUE"""),"184******32")</f>
        <v>184******32</v>
      </c>
      <c r="G127" s="15" t="str">
        <f>IFERROR(__xludf.dummyfunction("""COMPUTED_VALUE"""),"INFANTIL 3")</f>
        <v>INFANTIL 3</v>
      </c>
      <c r="H127" s="15" t="str">
        <f>IFERROR(__xludf.dummyfunction("""COMPUTED_VALUE"""),"CEMEI PROFESSORA LINDOMAR DOMINGOS DA SILVA ANJOS")</f>
        <v>CEMEI PROFESSORA LINDOMAR DOMINGOS DA SILVA ANJOS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ht="15.75" customHeight="1" spans="1:25">
      <c r="A128" s="36" t="str">
        <f t="shared" si="6"/>
        <v>REGIONAL 5</v>
      </c>
      <c r="B128" s="15" t="str">
        <f>IFERROR(__xludf.dummyfunction("""COMPUTED_VALUE"""),"08/07/2026 07:42:11")</f>
        <v>08/07/2026 07:42:11</v>
      </c>
      <c r="C128" s="38" t="str">
        <f>IFERROR(__xludf.dummyfunction("""COMPUTED_VALUE"""),"32")</f>
        <v>32</v>
      </c>
      <c r="D128" s="15" t="str">
        <f>IFERROR(__xludf.dummyfunction("""COMPUTED_VALUE"""),"R. R. S. d. N")</f>
        <v>R. R. S. d. N</v>
      </c>
      <c r="E128" s="15" t="str">
        <f>IFERROR(__xludf.dummyfunction("""COMPUTED_VALUE"""),"13/05/2022")</f>
        <v>13/05/2022</v>
      </c>
      <c r="F128" s="15" t="str">
        <f>IFERROR(__xludf.dummyfunction("""COMPUTED_VALUE"""),"181******46")</f>
        <v>181******46</v>
      </c>
      <c r="G128" s="15" t="str">
        <f>IFERROR(__xludf.dummyfunction("""COMPUTED_VALUE"""),"INFANTIL 3")</f>
        <v>INFANTIL 3</v>
      </c>
      <c r="H128" s="15" t="str">
        <f>IFERROR(__xludf.dummyfunction("""COMPUTED_VALUE"""),"CEMEI PROFESSORA LINDOMAR DOMINGOS DA SILVA ANJOS")</f>
        <v>CEMEI PROFESSORA LINDOMAR DOMINGOS DA SILVA ANJOS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ht="15.75" customHeight="1" spans="1:25">
      <c r="A129" s="36" t="str">
        <f t="shared" si="6"/>
        <v>REGIONAL 5</v>
      </c>
      <c r="B129" s="15" t="str">
        <f>IFERROR(__xludf.dummyfunction("""COMPUTED_VALUE"""),"18/07/2026 16:56:58")</f>
        <v>18/07/2026 16:56:58</v>
      </c>
      <c r="C129" s="38" t="str">
        <f>IFERROR(__xludf.dummyfunction("""COMPUTED_VALUE"""),"33")</f>
        <v>33</v>
      </c>
      <c r="D129" s="15" t="str">
        <f>IFERROR(__xludf.dummyfunction("""COMPUTED_VALUE"""),"s. h. g. d. s")</f>
        <v>s. h. g. d. s</v>
      </c>
      <c r="E129" s="15" t="str">
        <f>IFERROR(__xludf.dummyfunction("""COMPUTED_VALUE"""),"21/12/2022")</f>
        <v>21/12/2022</v>
      </c>
      <c r="F129" s="15" t="str">
        <f>IFERROR(__xludf.dummyfunction("""COMPUTED_VALUE"""),"126******46")</f>
        <v>126******46</v>
      </c>
      <c r="G129" s="15" t="str">
        <f>IFERROR(__xludf.dummyfunction("""COMPUTED_VALUE"""),"INFANTIL 3")</f>
        <v>INFANTIL 3</v>
      </c>
      <c r="H129" s="15" t="str">
        <f>IFERROR(__xludf.dummyfunction("""COMPUTED_VALUE"""),"CEMEI PROFESSORA LINDOMAR DOMINGOS DA SILVA ANJOS")</f>
        <v>CEMEI PROFESSORA LINDOMAR DOMINGOS DA SILVA ANJOS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ht="15.75" customHeight="1" spans="1:25">
      <c r="A130" s="36" t="str">
        <f t="shared" si="6"/>
        <v>REGIONAL 5</v>
      </c>
      <c r="B130" s="15" t="str">
        <f>IFERROR(__xludf.dummyfunction("""COMPUTED_VALUE"""),"04/08/2026 16:43:22")</f>
        <v>04/08/2026 16:43:22</v>
      </c>
      <c r="C130" s="38" t="str">
        <f>IFERROR(__xludf.dummyfunction("""COMPUTED_VALUE"""),"34")</f>
        <v>34</v>
      </c>
      <c r="D130" s="15" t="str">
        <f>IFERROR(__xludf.dummyfunction("""COMPUTED_VALUE"""),"B. L. S. D. A")</f>
        <v>B. L. S. D. A</v>
      </c>
      <c r="E130" s="15" t="str">
        <f>IFERROR(__xludf.dummyfunction("""COMPUTED_VALUE"""),"24/09/2022")</f>
        <v>24/09/2022</v>
      </c>
      <c r="F130" s="15" t="str">
        <f>IFERROR(__xludf.dummyfunction("""COMPUTED_VALUE"""),"182******70")</f>
        <v>182******70</v>
      </c>
      <c r="G130" s="15" t="str">
        <f>IFERROR(__xludf.dummyfunction("""COMPUTED_VALUE"""),"INFANTIL 3")</f>
        <v>INFANTIL 3</v>
      </c>
      <c r="H130" s="15" t="str">
        <f>IFERROR(__xludf.dummyfunction("""COMPUTED_VALUE"""),"CEMEI PROFESSORA LINDOMAR DOMINGOS DA SILVA ANJOS")</f>
        <v>CEMEI PROFESSORA LINDOMAR DOMINGOS DA SILVA ANJOS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ht="15.75" customHeight="1" spans="1:25">
      <c r="A131" s="36" t="str">
        <f t="shared" si="6"/>
        <v>REGIONAL 5</v>
      </c>
      <c r="B131" s="15" t="str">
        <f>IFERROR(__xludf.dummyfunction("""COMPUTED_VALUE"""),"26/08/2026 08:48:59")</f>
        <v>26/08/2026 08:48:59</v>
      </c>
      <c r="C131" s="38" t="str">
        <f>IFERROR(__xludf.dummyfunction("""COMPUTED_VALUE"""),"35")</f>
        <v>35</v>
      </c>
      <c r="D131" s="15" t="str">
        <f>IFERROR(__xludf.dummyfunction("""COMPUTED_VALUE"""),"L. O. D. S")</f>
        <v>L. O. D. S</v>
      </c>
      <c r="E131" s="15" t="str">
        <f>IFERROR(__xludf.dummyfunction("""COMPUTED_VALUE"""),"23/08/2022")</f>
        <v>23/08/2022</v>
      </c>
      <c r="F131" s="15" t="str">
        <f>IFERROR(__xludf.dummyfunction("""COMPUTED_VALUE"""),"183******08")</f>
        <v>183******08</v>
      </c>
      <c r="G131" s="15" t="str">
        <f>IFERROR(__xludf.dummyfunction("""COMPUTED_VALUE"""),"INFANTIL 3")</f>
        <v>INFANTIL 3</v>
      </c>
      <c r="H131" s="15" t="str">
        <f>IFERROR(__xludf.dummyfunction("""COMPUTED_VALUE"""),"CEMEI PROFESSORA LINDOMAR DOMINGOS DA SILVA ANJOS")</f>
        <v>CEMEI PROFESSORA LINDOMAR DOMINGOS DA SILVA ANJOS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ht="15.75" customHeight="1" spans="1:25">
      <c r="A132" s="36" t="str">
        <f t="shared" si="6"/>
        <v>REGIONAL 5</v>
      </c>
      <c r="B132" s="15" t="str">
        <f>IFERROR(__xludf.dummyfunction("""COMPUTED_VALUE"""),"28/08/2026 18:00:10")</f>
        <v>28/08/2026 18:00:10</v>
      </c>
      <c r="C132" s="38" t="str">
        <f>IFERROR(__xludf.dummyfunction("""COMPUTED_VALUE"""),"36")</f>
        <v>36</v>
      </c>
      <c r="D132" s="15" t="str">
        <f>IFERROR(__xludf.dummyfunction("""COMPUTED_VALUE"""),"M. C. F")</f>
        <v>M. C. F</v>
      </c>
      <c r="E132" s="15" t="str">
        <f>IFERROR(__xludf.dummyfunction("""COMPUTED_VALUE"""),"10/09/2022")</f>
        <v>10/09/2022</v>
      </c>
      <c r="F132" s="15" t="str">
        <f>IFERROR(__xludf.dummyfunction("""COMPUTED_VALUE"""),"182******82")</f>
        <v>182******82</v>
      </c>
      <c r="G132" s="15" t="str">
        <f>IFERROR(__xludf.dummyfunction("""COMPUTED_VALUE"""),"INFANTIL 3")</f>
        <v>INFANTIL 3</v>
      </c>
      <c r="H132" s="15" t="str">
        <f>IFERROR(__xludf.dummyfunction("""COMPUTED_VALUE"""),"CEMEI PROFESSORA LINDOMAR DOMINGOS DA SILVA ANJOS")</f>
        <v>CEMEI PROFESSORA LINDOMAR DOMINGOS DA SILVA ANJOS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ht="15.75" customHeight="1" spans="1:25">
      <c r="A133" s="36" t="str">
        <f t="shared" si="6"/>
        <v>REGIONAL 5</v>
      </c>
      <c r="B133" s="15" t="str">
        <f>IFERROR(__xludf.dummyfunction("""COMPUTED_VALUE"""),"09/09/2026 20:23:18")</f>
        <v>09/09/2026 20:23:18</v>
      </c>
      <c r="C133" s="38" t="str">
        <f>IFERROR(__xludf.dummyfunction("""COMPUTED_VALUE"""),"37")</f>
        <v>37</v>
      </c>
      <c r="D133" s="15" t="str">
        <f>IFERROR(__xludf.dummyfunction("""COMPUTED_VALUE"""),"Z. V. C. d. s")</f>
        <v>Z. V. C. d. s</v>
      </c>
      <c r="E133" s="15" t="str">
        <f>IFERROR(__xludf.dummyfunction("""COMPUTED_VALUE"""),"19/10/2022")</f>
        <v>19/10/2022</v>
      </c>
      <c r="F133" s="15" t="str">
        <f>IFERROR(__xludf.dummyfunction("""COMPUTED_VALUE"""),"183******40")</f>
        <v>183******40</v>
      </c>
      <c r="G133" s="15" t="str">
        <f>IFERROR(__xludf.dummyfunction("""COMPUTED_VALUE"""),"INFANTIL 3")</f>
        <v>INFANTIL 3</v>
      </c>
      <c r="H133" s="15" t="str">
        <f>IFERROR(__xludf.dummyfunction("""COMPUTED_VALUE"""),"CEMEI PROFESSORA LINDOMAR DOMINGOS DA SILVA ANJOS")</f>
        <v>CEMEI PROFESSORA LINDOMAR DOMINGOS DA SILVA ANJOS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ht="15.75" customHeight="1" spans="1:25">
      <c r="A134" s="36" t="str">
        <f t="shared" si="6"/>
        <v>REGIONAL 5</v>
      </c>
      <c r="B134" s="15" t="str">
        <f>IFERROR(__xludf.dummyfunction("""COMPUTED_VALUE"""),"28/01/2026 21:43:18")</f>
        <v>28/01/2026 21:43:18</v>
      </c>
      <c r="C134" s="38" t="str">
        <f>IFERROR(__xludf.dummyfunction("""COMPUTED_VALUE"""),"1")</f>
        <v>1</v>
      </c>
      <c r="D134" s="15" t="str">
        <f>IFERROR(__xludf.dummyfunction("""COMPUTED_VALUE"""),"A. D. D. O. A")</f>
        <v>A. D. D. O. A</v>
      </c>
      <c r="E134" s="15" t="str">
        <f>IFERROR(__xludf.dummyfunction("""COMPUTED_VALUE"""),"10/10/2024")</f>
        <v>10/10/2024</v>
      </c>
      <c r="F134" s="15" t="str">
        <f>IFERROR(__xludf.dummyfunction("""COMPUTED_VALUE"""),"005******63")</f>
        <v>005******63</v>
      </c>
      <c r="G134" s="15" t="str">
        <f>IFERROR(__xludf.dummyfunction("""COMPUTED_VALUE"""),"INFANTIL 1")</f>
        <v>INFANTIL 1</v>
      </c>
      <c r="H134" s="15" t="str">
        <f>IFERROR(__xludf.dummyfunction("""COMPUTED_VALUE"""),"CEMEI SILVIA MARIA DE OLIVEIRA")</f>
        <v>CEMEI SILVIA MARIA DE OLIVEIRA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ht="15.75" customHeight="1" spans="1:25">
      <c r="A135" s="36" t="str">
        <f t="shared" si="6"/>
        <v>REGIONAL 5</v>
      </c>
      <c r="B135" s="15" t="str">
        <f>IFERROR(__xludf.dummyfunction("""COMPUTED_VALUE"""),"17/07/2026 13:01:30")</f>
        <v>17/07/2026 13:01:30</v>
      </c>
      <c r="C135" s="38" t="str">
        <f>IFERROR(__xludf.dummyfunction("""COMPUTED_VALUE"""),"2")</f>
        <v>2</v>
      </c>
      <c r="D135" s="15" t="str">
        <f>IFERROR(__xludf.dummyfunction("""COMPUTED_VALUE"""),"L. F. S. d. l")</f>
        <v>L. F. S. d. l</v>
      </c>
      <c r="E135" s="15" t="str">
        <f>IFERROR(__xludf.dummyfunction("""COMPUTED_VALUE"""),"09/11/2025")</f>
        <v>09/11/2025</v>
      </c>
      <c r="F135" s="15" t="str">
        <f>IFERROR(__xludf.dummyfunction("""COMPUTED_VALUE"""),"021******91")</f>
        <v>021******91</v>
      </c>
      <c r="G135" s="15" t="str">
        <f>IFERROR(__xludf.dummyfunction("""COMPUTED_VALUE"""),"INFANTIL 1")</f>
        <v>INFANTIL 1</v>
      </c>
      <c r="H135" s="15" t="str">
        <f>IFERROR(__xludf.dummyfunction("""COMPUTED_VALUE"""),"CEMEI SILVIA MARIA DE OLIVEIRA")</f>
        <v>CEMEI SILVIA MARIA DE OLIVEIRA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ht="15.75" customHeight="1" spans="1:25">
      <c r="A136" s="36" t="str">
        <f t="shared" si="6"/>
        <v>REGIONAL 5</v>
      </c>
      <c r="B136" s="15" t="str">
        <f>IFERROR(__xludf.dummyfunction("""COMPUTED_VALUE"""),"17/07/2026 13:07:15")</f>
        <v>17/07/2026 13:07:15</v>
      </c>
      <c r="C136" s="38" t="str">
        <f>IFERROR(__xludf.dummyfunction("""COMPUTED_VALUE"""),"3")</f>
        <v>3</v>
      </c>
      <c r="D136" s="15" t="str">
        <f>IFERROR(__xludf.dummyfunction("""COMPUTED_VALUE"""),"L. N. s. d. l")</f>
        <v>L. N. s. d. l</v>
      </c>
      <c r="E136" s="15" t="str">
        <f>IFERROR(__xludf.dummyfunction("""COMPUTED_VALUE"""),"20/10/2024")</f>
        <v>20/10/2024</v>
      </c>
      <c r="F136" s="15" t="str">
        <f>IFERROR(__xludf.dummyfunction("""COMPUTED_VALUE"""),"005******50")</f>
        <v>005******50</v>
      </c>
      <c r="G136" s="15" t="str">
        <f>IFERROR(__xludf.dummyfunction("""COMPUTED_VALUE"""),"INFANTIL 1")</f>
        <v>INFANTIL 1</v>
      </c>
      <c r="H136" s="15" t="str">
        <f>IFERROR(__xludf.dummyfunction("""COMPUTED_VALUE"""),"CEMEI SILVIA MARIA DE OLIVEIRA")</f>
        <v>CEMEI SILVIA MARIA DE OLIVEIRA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ht="15.75" customHeight="1" spans="1:25">
      <c r="A137" s="36" t="str">
        <f t="shared" si="6"/>
        <v>REGIONAL 5</v>
      </c>
      <c r="B137" s="15" t="str">
        <f>IFERROR(__xludf.dummyfunction("""COMPUTED_VALUE"""),"09/07/2026 10:26:31")</f>
        <v>09/07/2026 10:26:31</v>
      </c>
      <c r="C137" s="38" t="str">
        <f>IFERROR(__xludf.dummyfunction("""COMPUTED_VALUE"""),"1")</f>
        <v>1</v>
      </c>
      <c r="D137" s="15" t="str">
        <f>IFERROR(__xludf.dummyfunction("""COMPUTED_VALUE"""),"H. M. S. D. N")</f>
        <v>H. M. S. D. N</v>
      </c>
      <c r="E137" s="15" t="str">
        <f>IFERROR(__xludf.dummyfunction("""COMPUTED_VALUE"""),"19/08/2023")</f>
        <v>19/08/2023</v>
      </c>
      <c r="F137" s="15" t="str">
        <f>IFERROR(__xludf.dummyfunction("""COMPUTED_VALUE"""),"003******21")</f>
        <v>003******21</v>
      </c>
      <c r="G137" s="15" t="str">
        <f>IFERROR(__xludf.dummyfunction("""COMPUTED_VALUE"""),"INFANTIL 2")</f>
        <v>INFANTIL 2</v>
      </c>
      <c r="H137" s="15" t="str">
        <f>IFERROR(__xludf.dummyfunction("""COMPUTED_VALUE"""),"CEMEI SILVIA MARIA DE OLIVEIRA")</f>
        <v>CEMEI SILVIA MARIA DE OLIVEIRA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ht="15.75" customHeight="1" spans="1:25">
      <c r="A138" s="36"/>
      <c r="B138" s="15"/>
      <c r="C138" s="38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ht="15.75" customHeight="1" spans="1:25">
      <c r="A139" s="36"/>
      <c r="B139" s="15"/>
      <c r="C139" s="38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ht="15.75" customHeight="1" spans="1:25">
      <c r="A140" s="36"/>
      <c r="B140" s="15"/>
      <c r="C140" s="38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5.75" customHeight="1" spans="1:25">
      <c r="A141" s="36"/>
      <c r="B141" s="15"/>
      <c r="C141" s="38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ht="15.75" customHeight="1" spans="1:25">
      <c r="A142" s="36"/>
      <c r="B142" s="15"/>
      <c r="C142" s="38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5.75" customHeight="1" spans="1:25">
      <c r="A143" s="36"/>
      <c r="B143" s="15"/>
      <c r="C143" s="38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ht="15.75" customHeight="1" spans="1:25">
      <c r="A144" s="36"/>
      <c r="B144" s="15"/>
      <c r="C144" s="38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ht="15.75" customHeight="1" spans="1:25">
      <c r="A145" s="36"/>
      <c r="B145" s="15"/>
      <c r="C145" s="38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ht="15.75" customHeight="1" spans="1:25">
      <c r="A146" s="36"/>
      <c r="B146" s="15"/>
      <c r="C146" s="38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ht="15.75" customHeight="1" spans="1:25">
      <c r="A147" s="36"/>
      <c r="B147" s="15"/>
      <c r="C147" s="38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ht="15.75" customHeight="1" spans="1:25">
      <c r="A148" s="36"/>
      <c r="B148" s="15"/>
      <c r="C148" s="38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ht="15.75" customHeight="1" spans="1:25">
      <c r="A149" s="36"/>
      <c r="B149" s="15"/>
      <c r="C149" s="38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ht="15.75" customHeight="1" spans="1:25">
      <c r="A150" s="36"/>
      <c r="B150" s="15"/>
      <c r="C150" s="38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ht="15.75" customHeight="1" spans="1:25">
      <c r="A151" s="36"/>
      <c r="B151" s="15"/>
      <c r="C151" s="38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ht="15.75" customHeight="1" spans="1:25">
      <c r="A152" s="36"/>
      <c r="B152" s="15"/>
      <c r="C152" s="38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ht="15.75" customHeight="1" spans="1:25">
      <c r="A153" s="36"/>
      <c r="B153" s="15"/>
      <c r="C153" s="38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ht="15.75" customHeight="1" spans="1:25">
      <c r="A154" s="36"/>
      <c r="B154" s="15"/>
      <c r="C154" s="38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ht="15.75" customHeight="1" spans="1:25">
      <c r="A155" s="36"/>
      <c r="B155" s="15"/>
      <c r="C155" s="38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ht="15.75" customHeight="1" spans="1:25">
      <c r="A156" s="36"/>
      <c r="B156" s="15"/>
      <c r="C156" s="38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ht="15.75" customHeight="1" spans="1:25">
      <c r="A157" s="36"/>
      <c r="B157" s="15"/>
      <c r="C157" s="38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ht="15.75" customHeight="1" spans="1:25">
      <c r="A158" s="36"/>
      <c r="B158" s="15"/>
      <c r="C158" s="38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ht="15.75" customHeight="1" spans="1:25">
      <c r="A159" s="36"/>
      <c r="B159" s="15"/>
      <c r="C159" s="38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ht="15.75" customHeight="1" spans="1:25">
      <c r="A160" s="36"/>
      <c r="B160" s="15"/>
      <c r="C160" s="38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ht="15.75" customHeight="1" spans="1:25">
      <c r="A161" s="36"/>
      <c r="B161" s="15"/>
      <c r="C161" s="38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ht="15.75" customHeight="1" spans="1:25">
      <c r="A162" s="36"/>
      <c r="B162" s="15"/>
      <c r="C162" s="38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ht="15.75" customHeight="1" spans="1:25">
      <c r="A163" s="36"/>
      <c r="B163" s="15"/>
      <c r="C163" s="38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ht="15.75" customHeight="1" spans="1:25">
      <c r="A164" s="36"/>
      <c r="B164" s="15"/>
      <c r="C164" s="38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ht="15.75" customHeight="1" spans="1:25">
      <c r="A165" s="36"/>
      <c r="B165" s="15"/>
      <c r="C165" s="38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ht="15.75" customHeight="1" spans="1:25">
      <c r="A166" s="36"/>
      <c r="B166" s="15"/>
      <c r="C166" s="38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ht="15.75" customHeight="1" spans="1:25">
      <c r="A167" s="36"/>
      <c r="B167" s="15"/>
      <c r="C167" s="38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ht="15.75" customHeight="1" spans="1:25">
      <c r="A168" s="36"/>
      <c r="B168" s="15"/>
      <c r="C168" s="38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ht="15.75" customHeight="1" spans="1:25">
      <c r="A169" s="36"/>
      <c r="B169" s="15"/>
      <c r="C169" s="38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ht="15.75" customHeight="1" spans="1:25">
      <c r="A170" s="36"/>
      <c r="B170" s="15"/>
      <c r="C170" s="38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ht="15.75" customHeight="1" spans="1:25">
      <c r="A171" s="36"/>
      <c r="B171" s="15"/>
      <c r="C171" s="38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ht="15.75" customHeight="1" spans="1:25">
      <c r="A172" s="36"/>
      <c r="B172" s="15"/>
      <c r="C172" s="38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ht="15.75" customHeight="1" spans="1:25">
      <c r="A173" s="36"/>
      <c r="B173" s="15"/>
      <c r="C173" s="38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ht="15.75" customHeight="1" spans="1:25">
      <c r="A174" s="36"/>
      <c r="B174" s="15"/>
      <c r="C174" s="38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ht="15.75" customHeight="1" spans="1:25">
      <c r="A175" s="36"/>
      <c r="B175" s="15"/>
      <c r="C175" s="38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ht="15.75" customHeight="1" spans="1:25">
      <c r="A176" s="36"/>
      <c r="B176" s="15"/>
      <c r="C176" s="38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ht="15.75" customHeight="1" spans="1:25">
      <c r="A177" s="36"/>
      <c r="B177" s="15"/>
      <c r="C177" s="38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ht="15.75" customHeight="1" spans="1:25">
      <c r="A178" s="36"/>
      <c r="B178" s="15"/>
      <c r="C178" s="38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ht="15.75" customHeight="1" spans="1:25">
      <c r="A179" s="36"/>
      <c r="B179" s="15"/>
      <c r="C179" s="38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ht="15.75" customHeight="1" spans="1:25">
      <c r="A180" s="36"/>
      <c r="B180" s="15"/>
      <c r="C180" s="38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ht="15.75" customHeight="1" spans="1:25">
      <c r="A181" s="36"/>
      <c r="B181" s="15"/>
      <c r="C181" s="38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ht="15.75" customHeight="1" spans="1:25">
      <c r="A182" s="36"/>
      <c r="B182" s="15"/>
      <c r="C182" s="38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ht="15.75" customHeight="1" spans="1:25">
      <c r="A183" s="36"/>
      <c r="B183" s="15"/>
      <c r="C183" s="38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5.75" customHeight="1" spans="1:25">
      <c r="A184" s="36"/>
      <c r="B184" s="15"/>
      <c r="C184" s="38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ht="15.75" customHeight="1" spans="1:25">
      <c r="A185" s="36"/>
      <c r="B185" s="15"/>
      <c r="C185" s="38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ht="15.75" customHeight="1" spans="1:25">
      <c r="A186" s="36"/>
      <c r="B186" s="15"/>
      <c r="C186" s="38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ht="15.75" customHeight="1" spans="1:25">
      <c r="A187" s="36"/>
      <c r="B187" s="15"/>
      <c r="C187" s="38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ht="15.75" customHeight="1" spans="1:25">
      <c r="A188" s="36"/>
      <c r="B188" s="15"/>
      <c r="C188" s="38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ht="15.75" customHeight="1" spans="1:25">
      <c r="A189" s="36"/>
      <c r="B189" s="15"/>
      <c r="C189" s="38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ht="15.75" customHeight="1" spans="1:25">
      <c r="A190" s="36"/>
      <c r="B190" s="15"/>
      <c r="C190" s="38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ht="15.75" customHeight="1" spans="1:25">
      <c r="A191" s="36"/>
      <c r="B191" s="15"/>
      <c r="C191" s="38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ht="15.75" customHeight="1" spans="1:25">
      <c r="A192" s="36"/>
      <c r="B192" s="15"/>
      <c r="C192" s="38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ht="15.75" customHeight="1" spans="1:25">
      <c r="A193" s="36"/>
      <c r="B193" s="15"/>
      <c r="C193" s="38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ht="15.75" customHeight="1" spans="1:25">
      <c r="A194" s="36"/>
      <c r="B194" s="15"/>
      <c r="C194" s="38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ht="15.75" customHeight="1" spans="1:25">
      <c r="A195" s="36"/>
      <c r="B195" s="15"/>
      <c r="C195" s="38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ht="15.75" customHeight="1" spans="1:25">
      <c r="A196" s="36"/>
      <c r="B196" s="15"/>
      <c r="C196" s="38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ht="15.75" customHeight="1" spans="1:25">
      <c r="A197" s="36"/>
      <c r="B197" s="15"/>
      <c r="C197" s="38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ht="15.75" customHeight="1" spans="1:25">
      <c r="A198" s="36"/>
      <c r="B198" s="15"/>
      <c r="C198" s="38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ht="15.75" customHeight="1" spans="1:25">
      <c r="A199" s="36"/>
      <c r="B199" s="15"/>
      <c r="C199" s="38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ht="15.75" customHeight="1" spans="1:25">
      <c r="A200" s="36"/>
      <c r="B200" s="15"/>
      <c r="C200" s="38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ht="15.75" customHeight="1" spans="1:25">
      <c r="A201" s="36"/>
      <c r="B201" s="15"/>
      <c r="C201" s="38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ht="15.75" customHeight="1" spans="1:25">
      <c r="A202" s="36"/>
      <c r="B202" s="15"/>
      <c r="C202" s="38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ht="15.75" customHeight="1" spans="1:25">
      <c r="A203" s="36"/>
      <c r="B203" s="15"/>
      <c r="C203" s="38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ht="15.75" customHeight="1" spans="1:25">
      <c r="A204" s="36"/>
      <c r="B204" s="15"/>
      <c r="C204" s="38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ht="15.75" customHeight="1" spans="1:25">
      <c r="A205" s="36"/>
      <c r="B205" s="15"/>
      <c r="C205" s="38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ht="15.75" customHeight="1" spans="1:25">
      <c r="A206" s="36"/>
      <c r="B206" s="15"/>
      <c r="C206" s="38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ht="15.75" customHeight="1" spans="1:25">
      <c r="A207" s="36"/>
      <c r="B207" s="15"/>
      <c r="C207" s="38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ht="15.75" customHeight="1" spans="1:25">
      <c r="A208" s="36"/>
      <c r="B208" s="15"/>
      <c r="C208" s="38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ht="15.75" customHeight="1" spans="1:25">
      <c r="A209" s="36"/>
      <c r="B209" s="15"/>
      <c r="C209" s="38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ht="15.75" customHeight="1" spans="1:25">
      <c r="A210" s="36"/>
      <c r="B210" s="15"/>
      <c r="C210" s="38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ht="15.75" customHeight="1" spans="1:25">
      <c r="A211" s="36"/>
      <c r="B211" s="15"/>
      <c r="C211" s="38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ht="15.75" customHeight="1" spans="1:25">
      <c r="A212" s="36"/>
      <c r="B212" s="15"/>
      <c r="C212" s="38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ht="15.75" customHeight="1" spans="1:25">
      <c r="A213" s="36"/>
      <c r="B213" s="15"/>
      <c r="C213" s="38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ht="15.75" customHeight="1" spans="1:25">
      <c r="A214" s="36"/>
      <c r="B214" s="15"/>
      <c r="C214" s="38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ht="15.75" customHeight="1" spans="1:25">
      <c r="A215" s="36"/>
      <c r="B215" s="15"/>
      <c r="C215" s="38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ht="15.75" customHeight="1" spans="1:25">
      <c r="A216" s="36"/>
      <c r="B216" s="15"/>
      <c r="C216" s="38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ht="15.75" customHeight="1" spans="1:25">
      <c r="A217" s="36"/>
      <c r="B217" s="15"/>
      <c r="C217" s="38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ht="15.75" customHeight="1" spans="1:25">
      <c r="A218" s="36"/>
      <c r="B218" s="15"/>
      <c r="C218" s="38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ht="15.75" customHeight="1" spans="1:25">
      <c r="A219" s="36"/>
      <c r="B219" s="15"/>
      <c r="C219" s="38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ht="15.75" customHeight="1" spans="1:25">
      <c r="A220" s="36"/>
      <c r="B220" s="15"/>
      <c r="C220" s="38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ht="15.75" customHeight="1" spans="1:25">
      <c r="A221" s="36"/>
      <c r="B221" s="15"/>
      <c r="C221" s="38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ht="15.75" customHeight="1" spans="1:25">
      <c r="A222" s="36"/>
      <c r="B222" s="15"/>
      <c r="C222" s="38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ht="15.75" customHeight="1" spans="1:25">
      <c r="A223" s="36"/>
      <c r="B223" s="15"/>
      <c r="C223" s="38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ht="15.75" customHeight="1" spans="1:25">
      <c r="A224" s="36"/>
      <c r="B224" s="15"/>
      <c r="C224" s="38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ht="15.75" customHeight="1" spans="1:25">
      <c r="A225" s="36"/>
      <c r="B225" s="15"/>
      <c r="C225" s="38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ht="15.75" customHeight="1" spans="1:25">
      <c r="A226" s="36"/>
      <c r="B226" s="15"/>
      <c r="C226" s="38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ht="15.75" customHeight="1" spans="1:25">
      <c r="A227" s="36"/>
      <c r="B227" s="15"/>
      <c r="C227" s="38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ht="15.75" customHeight="1" spans="1:25">
      <c r="A228" s="36"/>
      <c r="B228" s="15"/>
      <c r="C228" s="38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ht="15.75" customHeight="1" spans="1:25">
      <c r="A229" s="36"/>
      <c r="B229" s="15"/>
      <c r="C229" s="38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ht="15.75" customHeight="1" spans="1:25">
      <c r="A230" s="36"/>
      <c r="B230" s="15"/>
      <c r="C230" s="38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ht="15.75" customHeight="1" spans="1:25">
      <c r="A231" s="36"/>
      <c r="B231" s="15"/>
      <c r="C231" s="38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ht="15.75" customHeight="1" spans="1:25">
      <c r="A232" s="36"/>
      <c r="B232" s="15"/>
      <c r="C232" s="38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ht="15.75" customHeight="1" spans="1:25">
      <c r="A233" s="36"/>
      <c r="B233" s="15"/>
      <c r="C233" s="38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ht="15.75" customHeight="1" spans="1:25">
      <c r="A234" s="36"/>
      <c r="B234" s="15"/>
      <c r="C234" s="38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ht="15.75" customHeight="1" spans="1:25">
      <c r="A235" s="36"/>
      <c r="B235" s="15"/>
      <c r="C235" s="38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ht="15.75" customHeight="1" spans="1:25">
      <c r="A236" s="36"/>
      <c r="B236" s="15"/>
      <c r="C236" s="38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ht="15.75" customHeight="1" spans="1:25">
      <c r="A237" s="36"/>
      <c r="B237" s="15"/>
      <c r="C237" s="38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ht="15.75" customHeight="1" spans="1:25">
      <c r="A238" s="36"/>
      <c r="B238" s="15"/>
      <c r="C238" s="38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ht="15.75" customHeight="1" spans="1:25">
      <c r="A239" s="36"/>
      <c r="B239" s="15"/>
      <c r="C239" s="38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ht="15.75" customHeight="1" spans="1:25">
      <c r="A240" s="36"/>
      <c r="B240" s="15"/>
      <c r="C240" s="38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ht="15.75" customHeight="1" spans="1:25">
      <c r="A241" s="36"/>
      <c r="B241" s="15"/>
      <c r="C241" s="38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ht="15.75" customHeight="1" spans="1:25">
      <c r="A242" s="36"/>
      <c r="B242" s="15"/>
      <c r="C242" s="38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ht="15.75" customHeight="1" spans="1:25">
      <c r="A243" s="36"/>
      <c r="B243" s="15"/>
      <c r="C243" s="38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ht="15.75" customHeight="1" spans="1:25">
      <c r="A244" s="36"/>
      <c r="B244" s="15"/>
      <c r="C244" s="38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ht="15.75" customHeight="1" spans="1:25">
      <c r="A245" s="36"/>
      <c r="B245" s="15"/>
      <c r="C245" s="38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ht="15.75" customHeight="1" spans="1:25">
      <c r="A246" s="36"/>
      <c r="B246" s="15"/>
      <c r="C246" s="38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ht="15.75" customHeight="1" spans="1:25">
      <c r="A247" s="36"/>
      <c r="B247" s="15"/>
      <c r="C247" s="38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ht="15.75" customHeight="1" spans="1:25">
      <c r="A248" s="36"/>
      <c r="B248" s="15"/>
      <c r="C248" s="38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ht="15.75" customHeight="1" spans="1:25">
      <c r="A249" s="36"/>
      <c r="B249" s="15"/>
      <c r="C249" s="38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ht="15.75" customHeight="1" spans="1:25">
      <c r="A250" s="36"/>
      <c r="B250" s="15"/>
      <c r="C250" s="38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ht="15.75" customHeight="1" spans="1:25">
      <c r="A251" s="36"/>
      <c r="B251" s="15"/>
      <c r="C251" s="38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ht="15.75" customHeight="1" spans="1:25">
      <c r="A252" s="36"/>
      <c r="B252" s="15"/>
      <c r="C252" s="38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ht="15.75" customHeight="1" spans="1:25">
      <c r="A253" s="36"/>
      <c r="B253" s="15"/>
      <c r="C253" s="38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ht="15.75" customHeight="1" spans="1:25">
      <c r="A254" s="36"/>
      <c r="B254" s="15"/>
      <c r="C254" s="38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ht="15.75" customHeight="1" spans="1:25">
      <c r="A255" s="36"/>
      <c r="B255" s="15"/>
      <c r="C255" s="38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ht="15.75" customHeight="1" spans="1:25">
      <c r="A256" s="36"/>
      <c r="B256" s="15"/>
      <c r="C256" s="38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ht="15.75" customHeight="1" spans="1:25">
      <c r="A257" s="36"/>
      <c r="B257" s="15"/>
      <c r="C257" s="38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ht="15.75" customHeight="1" spans="1:25">
      <c r="A258" s="36"/>
      <c r="B258" s="15"/>
      <c r="C258" s="38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ht="15.75" customHeight="1" spans="1:25">
      <c r="A259" s="36"/>
      <c r="B259" s="15"/>
      <c r="C259" s="38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ht="15.75" customHeight="1" spans="1:25">
      <c r="A260" s="36"/>
      <c r="B260" s="15"/>
      <c r="C260" s="38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ht="15.75" customHeight="1" spans="1:25">
      <c r="A261" s="36"/>
      <c r="B261" s="15"/>
      <c r="C261" s="38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ht="15.75" customHeight="1" spans="1:25">
      <c r="A262" s="36"/>
      <c r="B262" s="15"/>
      <c r="C262" s="38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ht="15.75" customHeight="1" spans="1:25">
      <c r="A263" s="36"/>
      <c r="B263" s="15"/>
      <c r="C263" s="38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ht="15.75" customHeight="1" spans="1:25">
      <c r="A264" s="36"/>
      <c r="B264" s="15"/>
      <c r="C264" s="38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ht="15.75" customHeight="1" spans="1:25">
      <c r="A265" s="36"/>
      <c r="B265" s="15"/>
      <c r="C265" s="38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ht="15.75" customHeight="1" spans="1:25">
      <c r="A266" s="36"/>
      <c r="B266" s="15"/>
      <c r="C266" s="38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ht="15.75" customHeight="1" spans="1:25">
      <c r="A267" s="36"/>
      <c r="B267" s="15"/>
      <c r="C267" s="38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ht="15.75" customHeight="1" spans="1:25">
      <c r="A268" s="36"/>
      <c r="B268" s="15"/>
      <c r="C268" s="38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ht="15.75" customHeight="1" spans="1:25">
      <c r="A269" s="36"/>
      <c r="B269" s="15"/>
      <c r="C269" s="38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ht="15.75" customHeight="1" spans="1:25">
      <c r="A270" s="36"/>
      <c r="B270" s="15"/>
      <c r="C270" s="38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ht="15.75" customHeight="1" spans="1:25">
      <c r="A271" s="36"/>
      <c r="B271" s="15"/>
      <c r="C271" s="38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ht="15.75" customHeight="1" spans="1:25">
      <c r="A272" s="36"/>
      <c r="B272" s="15"/>
      <c r="C272" s="38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ht="15.75" customHeight="1" spans="1:25">
      <c r="A273" s="36"/>
      <c r="B273" s="15"/>
      <c r="C273" s="38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ht="15.75" customHeight="1" spans="1:25">
      <c r="A274" s="36"/>
      <c r="B274" s="15"/>
      <c r="C274" s="38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ht="15.75" customHeight="1" spans="1:25">
      <c r="A275" s="36"/>
      <c r="B275" s="15"/>
      <c r="C275" s="38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ht="15.75" customHeight="1" spans="1:25">
      <c r="A276" s="36"/>
      <c r="B276" s="15"/>
      <c r="C276" s="38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ht="15.75" customHeight="1" spans="1:25">
      <c r="A277" s="36"/>
      <c r="B277" s="15"/>
      <c r="C277" s="38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ht="15.75" customHeight="1" spans="1:25">
      <c r="A278" s="36"/>
      <c r="B278" s="15"/>
      <c r="C278" s="38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ht="15.75" customHeight="1" spans="1:25">
      <c r="A279" s="36"/>
      <c r="B279" s="15"/>
      <c r="C279" s="38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ht="15.75" customHeight="1" spans="1:25">
      <c r="A280" s="36"/>
      <c r="B280" s="15"/>
      <c r="C280" s="38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ht="15.75" customHeight="1" spans="1:25">
      <c r="A281" s="36"/>
      <c r="B281" s="15"/>
      <c r="C281" s="38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 ht="15.75" customHeight="1" spans="1:25">
      <c r="A282" s="36"/>
      <c r="B282" s="15"/>
      <c r="C282" s="38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 ht="15.75" customHeight="1" spans="1:25">
      <c r="A283" s="36"/>
      <c r="B283" s="15"/>
      <c r="C283" s="38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ht="15.75" customHeight="1" spans="1:25">
      <c r="A284" s="36"/>
      <c r="B284" s="15"/>
      <c r="C284" s="38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 ht="15.75" customHeight="1" spans="1:25">
      <c r="A285" s="36"/>
      <c r="B285" s="15"/>
      <c r="C285" s="38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 ht="15.75" customHeight="1" spans="1:25">
      <c r="A286" s="36"/>
      <c r="B286" s="15"/>
      <c r="C286" s="38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 ht="15.75" customHeight="1" spans="1:25">
      <c r="A287" s="36"/>
      <c r="B287" s="15"/>
      <c r="C287" s="38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 ht="15.75" customHeight="1" spans="1:25">
      <c r="A288" s="36"/>
      <c r="B288" s="15"/>
      <c r="C288" s="38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ht="15.75" customHeight="1" spans="1:25">
      <c r="A289" s="36"/>
      <c r="B289" s="15"/>
      <c r="C289" s="38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 ht="15.75" customHeight="1" spans="1:25">
      <c r="A290" s="36"/>
      <c r="B290" s="15"/>
      <c r="C290" s="38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 ht="15.75" customHeight="1" spans="1:25">
      <c r="A291" s="36"/>
      <c r="B291" s="15"/>
      <c r="C291" s="38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 ht="15.75" customHeight="1" spans="1:25">
      <c r="A292" s="36"/>
      <c r="B292" s="15"/>
      <c r="C292" s="38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 ht="15.75" customHeight="1" spans="1:25">
      <c r="A293" s="36"/>
      <c r="B293" s="15"/>
      <c r="C293" s="38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 ht="15.75" customHeight="1" spans="1:25">
      <c r="A294" s="36"/>
      <c r="B294" s="15"/>
      <c r="C294" s="38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ht="15.75" customHeight="1" spans="1:25">
      <c r="A295" s="36"/>
      <c r="B295" s="15"/>
      <c r="C295" s="38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 ht="15.75" customHeight="1" spans="1:25">
      <c r="A296" s="36"/>
      <c r="B296" s="15"/>
      <c r="C296" s="38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 ht="15.75" customHeight="1" spans="1:25">
      <c r="A297" s="36"/>
      <c r="B297" s="15"/>
      <c r="C297" s="38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 ht="15.75" customHeight="1" spans="1:25">
      <c r="A298" s="36"/>
      <c r="B298" s="15"/>
      <c r="C298" s="38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 ht="15.75" customHeight="1" spans="1:25">
      <c r="A299" s="36"/>
      <c r="B299" s="15"/>
      <c r="C299" s="38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ht="15.75" customHeight="1" spans="1:25">
      <c r="A300" s="36"/>
      <c r="B300" s="15"/>
      <c r="C300" s="38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 ht="15.75" customHeight="1" spans="1:25">
      <c r="A301" s="36"/>
      <c r="B301" s="15"/>
      <c r="C301" s="38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 ht="15.75" customHeight="1" spans="1:25">
      <c r="A302" s="36"/>
      <c r="B302" s="15"/>
      <c r="C302" s="38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 ht="15.75" customHeight="1" spans="1:25">
      <c r="A303" s="36"/>
      <c r="B303" s="15"/>
      <c r="C303" s="38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 ht="15.75" customHeight="1" spans="1:25">
      <c r="A304" s="36"/>
      <c r="B304" s="15"/>
      <c r="C304" s="38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 ht="15.75" customHeight="1" spans="1:25">
      <c r="A305" s="36"/>
      <c r="B305" s="15"/>
      <c r="C305" s="38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ht="15.75" customHeight="1" spans="1:25">
      <c r="A306" s="36"/>
      <c r="B306" s="15"/>
      <c r="C306" s="38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ht="15.75" customHeight="1" spans="1:25">
      <c r="A307" s="36"/>
      <c r="B307" s="15"/>
      <c r="C307" s="38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 ht="15.75" customHeight="1" spans="1:25">
      <c r="A308" s="36"/>
      <c r="B308" s="15"/>
      <c r="C308" s="38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 ht="15.75" customHeight="1" spans="1:25">
      <c r="A309" s="36"/>
      <c r="B309" s="15"/>
      <c r="C309" s="38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ht="15.75" customHeight="1" spans="1:25">
      <c r="A310" s="36"/>
      <c r="B310" s="15"/>
      <c r="C310" s="38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ht="15.75" customHeight="1" spans="1:25">
      <c r="A311" s="36"/>
      <c r="B311" s="15"/>
      <c r="C311" s="38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 ht="15.75" customHeight="1" spans="1:25">
      <c r="A312" s="36"/>
      <c r="B312" s="15"/>
      <c r="C312" s="38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ht="15.75" customHeight="1" spans="1:25">
      <c r="A313" s="36"/>
      <c r="B313" s="15"/>
      <c r="C313" s="38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 ht="15.75" customHeight="1" spans="1:25">
      <c r="A314" s="36"/>
      <c r="B314" s="15"/>
      <c r="C314" s="38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 ht="15.75" customHeight="1" spans="1:25">
      <c r="A315" s="36"/>
      <c r="B315" s="15"/>
      <c r="C315" s="38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 ht="15.75" customHeight="1" spans="1:25">
      <c r="A316" s="36"/>
      <c r="B316" s="15"/>
      <c r="C316" s="38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ht="15.75" customHeight="1" spans="1:25">
      <c r="A317" s="36"/>
      <c r="B317" s="15"/>
      <c r="C317" s="38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 ht="15.75" customHeight="1" spans="1:25">
      <c r="A318" s="36"/>
      <c r="B318" s="15"/>
      <c r="C318" s="38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 ht="15.75" customHeight="1" spans="1:25">
      <c r="A319" s="36"/>
      <c r="B319" s="15"/>
      <c r="C319" s="38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 ht="15.75" customHeight="1" spans="1:25">
      <c r="A320" s="36"/>
      <c r="B320" s="15"/>
      <c r="C320" s="38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 ht="15.75" customHeight="1" spans="1:25">
      <c r="A321" s="36"/>
      <c r="B321" s="15"/>
      <c r="C321" s="38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ht="15.75" customHeight="1" spans="1:25">
      <c r="A322" s="36"/>
      <c r="B322" s="15"/>
      <c r="C322" s="38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 ht="15.75" customHeight="1" spans="1:25">
      <c r="A323" s="36"/>
      <c r="B323" s="15"/>
      <c r="C323" s="38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 ht="15.75" customHeight="1" spans="1:25">
      <c r="A324" s="36"/>
      <c r="B324" s="15"/>
      <c r="C324" s="38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 ht="15.75" customHeight="1" spans="1:25">
      <c r="A325" s="36"/>
      <c r="B325" s="15"/>
      <c r="C325" s="38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 ht="15.75" customHeight="1" spans="1:25">
      <c r="A326" s="36"/>
      <c r="B326" s="15"/>
      <c r="C326" s="38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ht="15.75" customHeight="1" spans="1:25">
      <c r="A327" s="36"/>
      <c r="B327" s="15"/>
      <c r="C327" s="38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ht="15.75" customHeight="1" spans="1:25">
      <c r="A328" s="36"/>
      <c r="B328" s="15"/>
      <c r="C328" s="38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ht="15.75" customHeight="1" spans="1:25">
      <c r="A329" s="36"/>
      <c r="B329" s="15"/>
      <c r="C329" s="38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ht="15.75" customHeight="1" spans="1:25">
      <c r="A330" s="36"/>
      <c r="B330" s="15"/>
      <c r="C330" s="38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ht="15.75" customHeight="1" spans="1:25">
      <c r="A331" s="36"/>
      <c r="B331" s="15"/>
      <c r="C331" s="38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ht="15.75" customHeight="1" spans="1:25">
      <c r="A332" s="36"/>
      <c r="B332" s="15"/>
      <c r="C332" s="38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ht="15.75" customHeight="1" spans="1:25">
      <c r="A333" s="36"/>
      <c r="B333" s="15"/>
      <c r="C333" s="38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ht="15.75" customHeight="1" spans="1:25">
      <c r="A334" s="36"/>
      <c r="B334" s="15"/>
      <c r="C334" s="38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ht="15.75" customHeight="1" spans="1:25">
      <c r="A335" s="36"/>
      <c r="B335" s="15"/>
      <c r="C335" s="38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ht="15.75" customHeight="1" spans="1:25">
      <c r="A336" s="36"/>
      <c r="B336" s="15"/>
      <c r="C336" s="38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ht="15.75" customHeight="1" spans="1:25">
      <c r="A337" s="36"/>
      <c r="B337" s="15"/>
      <c r="C337" s="38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ht="15.75" customHeight="1" spans="1:25">
      <c r="A338" s="36"/>
      <c r="B338" s="15"/>
      <c r="C338" s="38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ht="15.75" customHeight="1" spans="1:25">
      <c r="A339" s="36"/>
      <c r="B339" s="15"/>
      <c r="C339" s="38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ht="15.75" customHeight="1" spans="1:25">
      <c r="A340" s="36"/>
      <c r="B340" s="15"/>
      <c r="C340" s="38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ht="15.75" customHeight="1" spans="1:25">
      <c r="A341" s="36"/>
      <c r="B341" s="15"/>
      <c r="C341" s="38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ht="15.75" customHeight="1" spans="1:25">
      <c r="A342" s="36"/>
      <c r="B342" s="15"/>
      <c r="C342" s="38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ht="15.75" customHeight="1" spans="1:25">
      <c r="A343" s="36"/>
      <c r="B343" s="15"/>
      <c r="C343" s="38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ht="15.75" customHeight="1" spans="1:25">
      <c r="A344" s="36"/>
      <c r="B344" s="15"/>
      <c r="C344" s="38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ht="15.75" customHeight="1" spans="1:25">
      <c r="A345" s="36"/>
      <c r="B345" s="15"/>
      <c r="C345" s="38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ht="15.75" customHeight="1" spans="1:25">
      <c r="A346" s="36"/>
      <c r="B346" s="15"/>
      <c r="C346" s="38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ht="15.75" customHeight="1" spans="1:25">
      <c r="A347" s="36"/>
      <c r="B347" s="15"/>
      <c r="C347" s="38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ht="15.75" customHeight="1" spans="1:25">
      <c r="A348" s="36"/>
      <c r="B348" s="15"/>
      <c r="C348" s="38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ht="15.75" customHeight="1" spans="1:25">
      <c r="A349" s="36"/>
      <c r="B349" s="15"/>
      <c r="C349" s="38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ht="15.75" customHeight="1" spans="1:25">
      <c r="A350" s="36"/>
      <c r="B350" s="15"/>
      <c r="C350" s="38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ht="15.75" customHeight="1" spans="1:25">
      <c r="A351" s="36"/>
      <c r="B351" s="15"/>
      <c r="C351" s="38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ht="15.75" customHeight="1" spans="1:25">
      <c r="A352" s="36"/>
      <c r="B352" s="15"/>
      <c r="C352" s="38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ht="15.75" customHeight="1" spans="1:25">
      <c r="A353" s="36"/>
      <c r="B353" s="15"/>
      <c r="C353" s="38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ht="15.75" customHeight="1" spans="1:25">
      <c r="A354" s="36"/>
      <c r="B354" s="15"/>
      <c r="C354" s="38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ht="15.75" customHeight="1" spans="1:25">
      <c r="A355" s="36"/>
      <c r="B355" s="15"/>
      <c r="C355" s="38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ht="15.75" customHeight="1" spans="1:25">
      <c r="A356" s="36"/>
      <c r="B356" s="15"/>
      <c r="C356" s="38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ht="15.75" customHeight="1" spans="1:25">
      <c r="A357" s="36"/>
      <c r="B357" s="15"/>
      <c r="C357" s="38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ht="15.75" customHeight="1" spans="1:25">
      <c r="A358" s="36"/>
      <c r="B358" s="15"/>
      <c r="C358" s="38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ht="15.75" customHeight="1" spans="1:25">
      <c r="A359" s="36"/>
      <c r="B359" s="15"/>
      <c r="C359" s="38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ht="15.75" customHeight="1" spans="1:25">
      <c r="A360" s="36"/>
      <c r="B360" s="15"/>
      <c r="C360" s="38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ht="15.75" customHeight="1" spans="1:25">
      <c r="A361" s="36"/>
      <c r="B361" s="15"/>
      <c r="C361" s="38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ht="15.75" customHeight="1" spans="1:25">
      <c r="A362" s="36"/>
      <c r="B362" s="15"/>
      <c r="C362" s="38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ht="15.75" customHeight="1" spans="1:25">
      <c r="A363" s="36"/>
      <c r="B363" s="15"/>
      <c r="C363" s="38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ht="15.75" customHeight="1" spans="1:25">
      <c r="A364" s="36"/>
      <c r="B364" s="15"/>
      <c r="C364" s="38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ht="15.75" customHeight="1" spans="1:25">
      <c r="A365" s="36"/>
      <c r="B365" s="15"/>
      <c r="C365" s="38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ht="15.75" customHeight="1" spans="1:25">
      <c r="A366" s="36"/>
      <c r="B366" s="15"/>
      <c r="C366" s="38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ht="15.75" customHeight="1" spans="1:25">
      <c r="A367" s="36"/>
      <c r="B367" s="15"/>
      <c r="C367" s="38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ht="15.75" customHeight="1" spans="1:25">
      <c r="A368" s="36"/>
      <c r="B368" s="15"/>
      <c r="C368" s="38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ht="15.75" customHeight="1" spans="1:25">
      <c r="A369" s="36"/>
      <c r="B369" s="15"/>
      <c r="C369" s="38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ht="15.75" customHeight="1" spans="1:25">
      <c r="A370" s="36"/>
      <c r="B370" s="15"/>
      <c r="C370" s="38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ht="15.75" customHeight="1" spans="1:25">
      <c r="A371" s="36"/>
      <c r="B371" s="15"/>
      <c r="C371" s="38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ht="15.75" customHeight="1" spans="1:25">
      <c r="A372" s="36"/>
      <c r="B372" s="15"/>
      <c r="C372" s="38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ht="15.75" customHeight="1" spans="1:25">
      <c r="A373" s="36"/>
      <c r="B373" s="15"/>
      <c r="C373" s="38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ht="15.75" customHeight="1" spans="1:25">
      <c r="A374" s="36"/>
      <c r="B374" s="15"/>
      <c r="C374" s="38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ht="15.75" customHeight="1" spans="1:25">
      <c r="A375" s="36"/>
      <c r="B375" s="15"/>
      <c r="C375" s="38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ht="15.75" customHeight="1" spans="1:25">
      <c r="A376" s="36"/>
      <c r="B376" s="15"/>
      <c r="C376" s="38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ht="15.75" customHeight="1" spans="1:25">
      <c r="A377" s="36"/>
      <c r="B377" s="15"/>
      <c r="C377" s="38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ht="15.75" customHeight="1" spans="1:25">
      <c r="A378" s="36"/>
      <c r="B378" s="15"/>
      <c r="C378" s="38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ht="15.75" customHeight="1" spans="1:25">
      <c r="A379" s="36"/>
      <c r="B379" s="15"/>
      <c r="C379" s="38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ht="15.75" customHeight="1" spans="1:25">
      <c r="A380" s="36"/>
      <c r="B380" s="15"/>
      <c r="C380" s="38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ht="15.75" customHeight="1" spans="1:25">
      <c r="A381" s="36"/>
      <c r="B381" s="15"/>
      <c r="C381" s="38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ht="15.75" customHeight="1" spans="1:25">
      <c r="A382" s="36"/>
      <c r="B382" s="15"/>
      <c r="C382" s="38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ht="15.75" customHeight="1" spans="1:25">
      <c r="A383" s="36"/>
      <c r="B383" s="15"/>
      <c r="C383" s="38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ht="15.75" customHeight="1" spans="1:25">
      <c r="A384" s="36"/>
      <c r="B384" s="15"/>
      <c r="C384" s="38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ht="15.75" customHeight="1" spans="1:25">
      <c r="A385" s="36"/>
      <c r="B385" s="15"/>
      <c r="C385" s="38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ht="15.75" customHeight="1" spans="1:25">
      <c r="A386" s="36"/>
      <c r="B386" s="15"/>
      <c r="C386" s="38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ht="15.75" customHeight="1" spans="1:25">
      <c r="A387" s="36"/>
      <c r="B387" s="15"/>
      <c r="C387" s="38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ht="15.75" customHeight="1" spans="1:25">
      <c r="A388" s="36"/>
      <c r="B388" s="15"/>
      <c r="C388" s="38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ht="15.75" customHeight="1" spans="1:25">
      <c r="A389" s="36"/>
      <c r="B389" s="15"/>
      <c r="C389" s="38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ht="15.75" customHeight="1" spans="1:25">
      <c r="A390" s="36"/>
      <c r="B390" s="15"/>
      <c r="C390" s="38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ht="15.75" customHeight="1" spans="1:25">
      <c r="A391" s="36"/>
      <c r="B391" s="15"/>
      <c r="C391" s="38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ht="15.75" customHeight="1" spans="1:25">
      <c r="A392" s="36"/>
      <c r="B392" s="15"/>
      <c r="C392" s="38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ht="15.75" customHeight="1" spans="1:25">
      <c r="A393" s="36"/>
      <c r="B393" s="15"/>
      <c r="C393" s="38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ht="15.75" customHeight="1" spans="1:25">
      <c r="A394" s="36"/>
      <c r="B394" s="15"/>
      <c r="C394" s="38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ht="15.75" customHeight="1" spans="1:25">
      <c r="A395" s="36"/>
      <c r="B395" s="15"/>
      <c r="C395" s="38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ht="15.75" customHeight="1" spans="1:25">
      <c r="A396" s="36"/>
      <c r="B396" s="15"/>
      <c r="C396" s="38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ht="15.75" customHeight="1" spans="1:25">
      <c r="A397" s="36"/>
      <c r="B397" s="15"/>
      <c r="C397" s="38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ht="15.75" customHeight="1" spans="1:25">
      <c r="A398" s="36"/>
      <c r="B398" s="15"/>
      <c r="C398" s="38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ht="15.75" customHeight="1" spans="1:25">
      <c r="A399" s="36"/>
      <c r="B399" s="15"/>
      <c r="C399" s="38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ht="15.75" customHeight="1" spans="1:25">
      <c r="A400" s="36"/>
      <c r="B400" s="15"/>
      <c r="C400" s="38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ht="15.75" customHeight="1" spans="1:25">
      <c r="A401" s="36"/>
      <c r="B401" s="15"/>
      <c r="C401" s="38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ht="15.75" customHeight="1" spans="1:25">
      <c r="A402" s="36"/>
      <c r="B402" s="15"/>
      <c r="C402" s="38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ht="15.75" customHeight="1" spans="1:25">
      <c r="A403" s="36"/>
      <c r="B403" s="15"/>
      <c r="C403" s="38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ht="15.75" customHeight="1" spans="1:25">
      <c r="A404" s="36"/>
      <c r="B404" s="15"/>
      <c r="C404" s="38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ht="15.75" customHeight="1" spans="1:25">
      <c r="A405" s="36"/>
      <c r="B405" s="15"/>
      <c r="C405" s="38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ht="15.75" customHeight="1" spans="1:25">
      <c r="A406" s="36"/>
      <c r="B406" s="15"/>
      <c r="C406" s="38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ht="15.75" customHeight="1" spans="1:25">
      <c r="A407" s="36"/>
      <c r="B407" s="15"/>
      <c r="C407" s="38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ht="15.75" customHeight="1" spans="1:25">
      <c r="A408" s="36"/>
      <c r="B408" s="15"/>
      <c r="C408" s="38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ht="15.75" customHeight="1" spans="1:25">
      <c r="A409" s="36"/>
      <c r="B409" s="15"/>
      <c r="C409" s="38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ht="15.75" customHeight="1" spans="1:25">
      <c r="A410" s="36"/>
      <c r="B410" s="15"/>
      <c r="C410" s="38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ht="15.75" customHeight="1" spans="1:25">
      <c r="A411" s="36"/>
      <c r="B411" s="15"/>
      <c r="C411" s="38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ht="15.75" customHeight="1" spans="1:25">
      <c r="A412" s="36"/>
      <c r="B412" s="15"/>
      <c r="C412" s="38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ht="15.75" customHeight="1" spans="1:25">
      <c r="A413" s="36"/>
      <c r="B413" s="15"/>
      <c r="C413" s="38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ht="15.75" customHeight="1" spans="1:25">
      <c r="A414" s="36"/>
      <c r="B414" s="15"/>
      <c r="C414" s="38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ht="15.75" customHeight="1" spans="1:25">
      <c r="A415" s="36"/>
      <c r="B415" s="15"/>
      <c r="C415" s="38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ht="15.75" customHeight="1" spans="1:25">
      <c r="A416" s="36"/>
      <c r="B416" s="15"/>
      <c r="C416" s="38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ht="15.75" customHeight="1" spans="1:25">
      <c r="A417" s="36"/>
      <c r="B417" s="15"/>
      <c r="C417" s="38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ht="15.75" customHeight="1" spans="1:25">
      <c r="A418" s="36"/>
      <c r="B418" s="15"/>
      <c r="C418" s="38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ht="15.75" customHeight="1" spans="1:25">
      <c r="A419" s="36"/>
      <c r="B419" s="15"/>
      <c r="C419" s="38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ht="15.75" customHeight="1" spans="1:25">
      <c r="A420" s="36"/>
      <c r="B420" s="15"/>
      <c r="C420" s="38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ht="15.75" customHeight="1" spans="1:25">
      <c r="A421" s="36"/>
      <c r="B421" s="15"/>
      <c r="C421" s="38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ht="15.75" customHeight="1" spans="1:25">
      <c r="A422" s="36"/>
      <c r="B422" s="15"/>
      <c r="C422" s="38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ht="15.75" customHeight="1" spans="1:25">
      <c r="A423" s="36"/>
      <c r="B423" s="15"/>
      <c r="C423" s="38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ht="15.75" customHeight="1" spans="1:25">
      <c r="A424" s="36"/>
      <c r="B424" s="15"/>
      <c r="C424" s="38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ht="15.75" customHeight="1" spans="1:25">
      <c r="A425" s="36"/>
      <c r="B425" s="15"/>
      <c r="C425" s="38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ht="15.75" customHeight="1" spans="1:25">
      <c r="A426" s="36"/>
      <c r="B426" s="15"/>
      <c r="C426" s="38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ht="15.75" customHeight="1" spans="1:25">
      <c r="A427" s="36"/>
      <c r="B427" s="15"/>
      <c r="C427" s="38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ht="15.75" customHeight="1" spans="1:25">
      <c r="A428" s="36"/>
      <c r="B428" s="15"/>
      <c r="C428" s="38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ht="15.75" customHeight="1" spans="1:25">
      <c r="A429" s="36"/>
      <c r="B429" s="15"/>
      <c r="C429" s="38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ht="15.75" customHeight="1" spans="1:25">
      <c r="A430" s="36"/>
      <c r="B430" s="15"/>
      <c r="C430" s="38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ht="15.75" customHeight="1" spans="1:25">
      <c r="A431" s="36"/>
      <c r="B431" s="15"/>
      <c r="C431" s="38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ht="15.75" customHeight="1" spans="1:25">
      <c r="A432" s="36"/>
      <c r="B432" s="15"/>
      <c r="C432" s="38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ht="15.75" customHeight="1" spans="1:25">
      <c r="A433" s="36"/>
      <c r="B433" s="15"/>
      <c r="C433" s="38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ht="15.75" customHeight="1" spans="1:25">
      <c r="A434" s="36"/>
      <c r="B434" s="15"/>
      <c r="C434" s="38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ht="15.75" customHeight="1" spans="1:25">
      <c r="A435" s="36"/>
      <c r="B435" s="15"/>
      <c r="C435" s="38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ht="15.75" customHeight="1" spans="1:25">
      <c r="A436" s="36"/>
      <c r="B436" s="15"/>
      <c r="C436" s="38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ht="15.75" customHeight="1" spans="1:25">
      <c r="A437" s="36"/>
      <c r="B437" s="15"/>
      <c r="C437" s="38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ht="15.75" customHeight="1" spans="1:25">
      <c r="A438" s="36"/>
      <c r="B438" s="15"/>
      <c r="C438" s="38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ht="15.75" customHeight="1" spans="1:25">
      <c r="A439" s="36"/>
      <c r="B439" s="15"/>
      <c r="C439" s="38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ht="15.75" customHeight="1" spans="1:25">
      <c r="A440" s="36"/>
      <c r="B440" s="15"/>
      <c r="C440" s="38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ht="15.75" customHeight="1" spans="1:25">
      <c r="A441" s="36"/>
      <c r="B441" s="15"/>
      <c r="C441" s="38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ht="15.75" customHeight="1" spans="1:25">
      <c r="A442" s="36"/>
      <c r="B442" s="15"/>
      <c r="C442" s="38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ht="15.75" customHeight="1" spans="1:25">
      <c r="A443" s="36"/>
      <c r="B443" s="15"/>
      <c r="C443" s="38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ht="15.75" customHeight="1" spans="1:25">
      <c r="A444" s="36"/>
      <c r="B444" s="15"/>
      <c r="C444" s="38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ht="15.75" customHeight="1" spans="1:25">
      <c r="A445" s="36"/>
      <c r="B445" s="15"/>
      <c r="C445" s="38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ht="15.75" customHeight="1" spans="1:25">
      <c r="A446" s="36"/>
      <c r="B446" s="15"/>
      <c r="C446" s="38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ht="15.75" customHeight="1" spans="1:25">
      <c r="A447" s="36"/>
      <c r="B447" s="15"/>
      <c r="C447" s="38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ht="15.75" customHeight="1" spans="1:25">
      <c r="A448" s="36"/>
      <c r="B448" s="15"/>
      <c r="C448" s="38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ht="15.75" customHeight="1" spans="1:25">
      <c r="A449" s="36"/>
      <c r="B449" s="15"/>
      <c r="C449" s="38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ht="15.75" customHeight="1" spans="1:25">
      <c r="A450" s="36"/>
      <c r="B450" s="15"/>
      <c r="C450" s="38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ht="15.75" customHeight="1" spans="1:25">
      <c r="A451" s="36"/>
      <c r="B451" s="15"/>
      <c r="C451" s="38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ht="15.75" customHeight="1" spans="1:25">
      <c r="A452" s="36"/>
      <c r="B452" s="15"/>
      <c r="C452" s="38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ht="15.75" customHeight="1" spans="1:25">
      <c r="A453" s="36"/>
      <c r="B453" s="15"/>
      <c r="C453" s="38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ht="15.75" customHeight="1" spans="1:25">
      <c r="A454" s="36"/>
      <c r="B454" s="15"/>
      <c r="C454" s="38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ht="15.75" customHeight="1" spans="1:25">
      <c r="A455" s="36"/>
      <c r="B455" s="15"/>
      <c r="C455" s="38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ht="15.75" customHeight="1" spans="1:25">
      <c r="A456" s="36"/>
      <c r="B456" s="15"/>
      <c r="C456" s="38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ht="15.75" customHeight="1" spans="1:25">
      <c r="A457" s="36"/>
      <c r="B457" s="15"/>
      <c r="C457" s="38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ht="15.75" customHeight="1" spans="1:25">
      <c r="A458" s="36"/>
      <c r="B458" s="15"/>
      <c r="C458" s="38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ht="15.75" customHeight="1" spans="1:25">
      <c r="A459" s="36"/>
      <c r="B459" s="15"/>
      <c r="C459" s="38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ht="15.75" customHeight="1" spans="1:25">
      <c r="A460" s="36"/>
      <c r="B460" s="15"/>
      <c r="C460" s="38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ht="15.75" customHeight="1" spans="1:25">
      <c r="A461" s="36"/>
      <c r="B461" s="15"/>
      <c r="C461" s="38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ht="15.75" customHeight="1" spans="1:25">
      <c r="A462" s="36"/>
      <c r="B462" s="15"/>
      <c r="C462" s="38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ht="15.75" customHeight="1" spans="1:25">
      <c r="A463" s="36"/>
      <c r="B463" s="15"/>
      <c r="C463" s="38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ht="15.75" customHeight="1" spans="1:25">
      <c r="A464" s="36"/>
      <c r="B464" s="15"/>
      <c r="C464" s="38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ht="15.75" customHeight="1" spans="1:25">
      <c r="A465" s="36"/>
      <c r="B465" s="15"/>
      <c r="C465" s="38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ht="15.75" customHeight="1" spans="1:25">
      <c r="A466" s="36"/>
      <c r="B466" s="15"/>
      <c r="C466" s="38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ht="15.75" customHeight="1" spans="1:25">
      <c r="A467" s="36"/>
      <c r="B467" s="15"/>
      <c r="C467" s="38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ht="15.75" customHeight="1" spans="1:25">
      <c r="A468" s="36"/>
      <c r="B468" s="15"/>
      <c r="C468" s="38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ht="15.75" customHeight="1" spans="1:25">
      <c r="A469" s="36"/>
      <c r="B469" s="15"/>
      <c r="C469" s="38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ht="15.75" customHeight="1" spans="1:25">
      <c r="A470" s="36"/>
      <c r="B470" s="15"/>
      <c r="C470" s="38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ht="15.75" customHeight="1" spans="1:25">
      <c r="A471" s="36"/>
      <c r="B471" s="15"/>
      <c r="C471" s="38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ht="15.75" customHeight="1" spans="1:25">
      <c r="A472" s="36"/>
      <c r="B472" s="15"/>
      <c r="C472" s="38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ht="15.75" customHeight="1" spans="1:25">
      <c r="A473" s="36"/>
      <c r="B473" s="15"/>
      <c r="C473" s="38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ht="15.75" customHeight="1" spans="1:25">
      <c r="A474" s="36"/>
      <c r="B474" s="15"/>
      <c r="C474" s="38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ht="15.75" customHeight="1" spans="1:25">
      <c r="A475" s="36"/>
      <c r="B475" s="15"/>
      <c r="C475" s="38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ht="15.75" customHeight="1" spans="1:25">
      <c r="A476" s="36"/>
      <c r="B476" s="15"/>
      <c r="C476" s="38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ht="15.75" customHeight="1" spans="1:25">
      <c r="A477" s="36"/>
      <c r="B477" s="15"/>
      <c r="C477" s="38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ht="15.75" customHeight="1" spans="1:25">
      <c r="A478" s="36"/>
      <c r="B478" s="15"/>
      <c r="C478" s="38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 ht="15.75" customHeight="1" spans="1:25">
      <c r="A479" s="36"/>
      <c r="B479" s="15"/>
      <c r="C479" s="38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 ht="15.75" customHeight="1" spans="1:25">
      <c r="A480" s="36"/>
      <c r="B480" s="15"/>
      <c r="C480" s="38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 ht="15.75" customHeight="1" spans="1:25">
      <c r="A481" s="36"/>
      <c r="B481" s="15"/>
      <c r="C481" s="38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 ht="15.75" customHeight="1" spans="1:25">
      <c r="A482" s="36"/>
      <c r="B482" s="15"/>
      <c r="C482" s="38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 ht="15.75" customHeight="1" spans="1:25">
      <c r="A483" s="36"/>
      <c r="B483" s="15"/>
      <c r="C483" s="38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 ht="15.75" customHeight="1" spans="1:25">
      <c r="A484" s="36"/>
      <c r="B484" s="15"/>
      <c r="C484" s="38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ht="15.75" customHeight="1" spans="1:25">
      <c r="A485" s="36"/>
      <c r="B485" s="15"/>
      <c r="C485" s="38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 ht="15.75" customHeight="1" spans="1:25">
      <c r="A486" s="36"/>
      <c r="B486" s="15"/>
      <c r="C486" s="38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 ht="15.75" customHeight="1" spans="1:25">
      <c r="A487" s="36"/>
      <c r="B487" s="15"/>
      <c r="C487" s="38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 ht="15.75" customHeight="1" spans="1:25">
      <c r="A488" s="36"/>
      <c r="B488" s="15"/>
      <c r="C488" s="38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ht="15.75" customHeight="1" spans="1:25">
      <c r="A489" s="36"/>
      <c r="B489" s="15"/>
      <c r="C489" s="38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 ht="15.75" customHeight="1" spans="1:25">
      <c r="A490" s="36"/>
      <c r="B490" s="15"/>
      <c r="C490" s="38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 ht="15.75" customHeight="1" spans="1:25">
      <c r="A491" s="36"/>
      <c r="B491" s="15"/>
      <c r="C491" s="38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 ht="15.75" customHeight="1" spans="1:25">
      <c r="A492" s="36"/>
      <c r="B492" s="15"/>
      <c r="C492" s="38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 ht="15.75" customHeight="1" spans="1:25">
      <c r="A493" s="36"/>
      <c r="B493" s="15"/>
      <c r="C493" s="38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 ht="15.75" customHeight="1" spans="1:25">
      <c r="A494" s="36"/>
      <c r="B494" s="15"/>
      <c r="C494" s="38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ht="15.75" customHeight="1" spans="1:25">
      <c r="A495" s="36"/>
      <c r="B495" s="15"/>
      <c r="C495" s="38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ht="15.75" customHeight="1" spans="1:25">
      <c r="A496" s="36"/>
      <c r="B496" s="15"/>
      <c r="C496" s="38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 ht="15.75" customHeight="1" spans="1:25">
      <c r="A497" s="36"/>
      <c r="B497" s="15"/>
      <c r="C497" s="38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 ht="15.75" customHeight="1" spans="1:25">
      <c r="A498" s="36"/>
      <c r="B498" s="15"/>
      <c r="C498" s="38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ht="15.75" customHeight="1" spans="1:25">
      <c r="A499" s="36"/>
      <c r="B499" s="15"/>
      <c r="C499" s="38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 ht="15.75" customHeight="1" spans="1:25">
      <c r="A500" s="36"/>
      <c r="B500" s="15"/>
      <c r="C500" s="38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 ht="15.75" customHeight="1" spans="1:25">
      <c r="A501" s="36"/>
      <c r="B501" s="15"/>
      <c r="C501" s="38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 ht="15.75" customHeight="1" spans="1:25">
      <c r="A502" s="36"/>
      <c r="B502" s="15"/>
      <c r="C502" s="38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ht="15.75" customHeight="1" spans="1:25">
      <c r="A503" s="36"/>
      <c r="B503" s="15"/>
      <c r="C503" s="38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 ht="15.75" customHeight="1" spans="1:25">
      <c r="A504" s="36"/>
      <c r="B504" s="15"/>
      <c r="C504" s="38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 ht="15.75" customHeight="1" spans="1:25">
      <c r="A505" s="36"/>
      <c r="B505" s="15"/>
      <c r="C505" s="38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 ht="15.75" customHeight="1" spans="1:25">
      <c r="A506" s="36"/>
      <c r="B506" s="15"/>
      <c r="C506" s="38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ht="15.75" customHeight="1" spans="1:25">
      <c r="A507" s="36"/>
      <c r="B507" s="15"/>
      <c r="C507" s="38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ht="15.75" customHeight="1" spans="1:25">
      <c r="A508" s="36"/>
      <c r="B508" s="15"/>
      <c r="C508" s="38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 ht="15.75" customHeight="1" spans="1:25">
      <c r="A509" s="36"/>
      <c r="B509" s="15"/>
      <c r="C509" s="38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 ht="15.75" customHeight="1" spans="1:25">
      <c r="A510" s="36"/>
      <c r="B510" s="15"/>
      <c r="C510" s="38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ht="15.75" customHeight="1" spans="1:25">
      <c r="A511" s="36"/>
      <c r="B511" s="15"/>
      <c r="C511" s="38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 ht="15.75" customHeight="1" spans="1:25">
      <c r="A512" s="36"/>
      <c r="B512" s="15"/>
      <c r="C512" s="38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 ht="15.75" customHeight="1" spans="1:25">
      <c r="A513" s="36"/>
      <c r="B513" s="15"/>
      <c r="C513" s="38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 ht="15.75" customHeight="1" spans="1:25">
      <c r="A514" s="36"/>
      <c r="B514" s="15"/>
      <c r="C514" s="38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 ht="15.75" customHeight="1" spans="1:25">
      <c r="A515" s="36"/>
      <c r="B515" s="15"/>
      <c r="C515" s="38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 ht="15.75" customHeight="1" spans="1:25">
      <c r="A516" s="36"/>
      <c r="B516" s="15"/>
      <c r="C516" s="38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ht="15.75" customHeight="1" spans="1:25">
      <c r="A517" s="36"/>
      <c r="B517" s="15"/>
      <c r="C517" s="38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 ht="15.75" customHeight="1" spans="1:25">
      <c r="A518" s="36"/>
      <c r="B518" s="15"/>
      <c r="C518" s="38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 ht="15.75" customHeight="1" spans="1:25">
      <c r="A519" s="36"/>
      <c r="B519" s="15"/>
      <c r="C519" s="38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 ht="15.75" customHeight="1" spans="1:25">
      <c r="A520" s="36"/>
      <c r="B520" s="15"/>
      <c r="C520" s="38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 ht="15.75" customHeight="1" spans="1:25">
      <c r="A521" s="36"/>
      <c r="B521" s="15"/>
      <c r="C521" s="38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ht="15.75" customHeight="1" spans="1:25">
      <c r="A522" s="36"/>
      <c r="B522" s="15"/>
      <c r="C522" s="38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ht="15.75" customHeight="1" spans="1:25">
      <c r="A523" s="36"/>
      <c r="B523" s="15"/>
      <c r="C523" s="38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 ht="15.75" customHeight="1" spans="1:25">
      <c r="A524" s="36"/>
      <c r="B524" s="15"/>
      <c r="C524" s="38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 ht="15.75" customHeight="1" spans="1:25">
      <c r="A525" s="36"/>
      <c r="B525" s="15"/>
      <c r="C525" s="38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ht="15.75" customHeight="1" spans="1:25">
      <c r="A526" s="36"/>
      <c r="B526" s="15"/>
      <c r="C526" s="38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 ht="15.75" customHeight="1" spans="1:25">
      <c r="A527" s="36"/>
      <c r="B527" s="15"/>
      <c r="C527" s="38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 ht="15.75" customHeight="1" spans="1:25">
      <c r="A528" s="36"/>
      <c r="B528" s="15"/>
      <c r="C528" s="38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 ht="15.75" customHeight="1" spans="1:25">
      <c r="A529" s="36"/>
      <c r="B529" s="15"/>
      <c r="C529" s="38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 ht="15.75" customHeight="1" spans="1:25">
      <c r="A530" s="36"/>
      <c r="B530" s="15"/>
      <c r="C530" s="38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 ht="15.75" customHeight="1" spans="1:25">
      <c r="A531" s="36"/>
      <c r="B531" s="15"/>
      <c r="C531" s="38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 ht="15.75" customHeight="1" spans="1:25">
      <c r="A532" s="36"/>
      <c r="B532" s="15"/>
      <c r="C532" s="38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 ht="15.75" customHeight="1" spans="1:25">
      <c r="A533" s="36"/>
      <c r="B533" s="15"/>
      <c r="C533" s="38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ht="15.75" customHeight="1" spans="1:25">
      <c r="A534" s="36"/>
      <c r="B534" s="15"/>
      <c r="C534" s="38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ht="15.75" customHeight="1" spans="1:25">
      <c r="A535" s="36"/>
      <c r="B535" s="15"/>
      <c r="C535" s="38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ht="15.75" customHeight="1" spans="1:25">
      <c r="A536" s="36"/>
      <c r="B536" s="15"/>
      <c r="C536" s="38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ht="15.75" customHeight="1" spans="1:25">
      <c r="A537" s="36"/>
      <c r="B537" s="15"/>
      <c r="C537" s="38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ht="15.75" customHeight="1" spans="1:25">
      <c r="A538" s="36"/>
      <c r="B538" s="15"/>
      <c r="C538" s="38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ht="15.75" customHeight="1" spans="1:25">
      <c r="A539" s="36"/>
      <c r="B539" s="15"/>
      <c r="C539" s="38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ht="15.75" customHeight="1" spans="1:25">
      <c r="A540" s="36"/>
      <c r="B540" s="15"/>
      <c r="C540" s="38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ht="15.75" customHeight="1" spans="1:25">
      <c r="A541" s="36"/>
      <c r="B541" s="15"/>
      <c r="C541" s="38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ht="15.75" customHeight="1" spans="1:25">
      <c r="A542" s="36"/>
      <c r="B542" s="15"/>
      <c r="C542" s="38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ht="15.75" customHeight="1" spans="1:25">
      <c r="A543" s="36"/>
      <c r="B543" s="15"/>
      <c r="C543" s="38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ht="15.75" customHeight="1" spans="1:25">
      <c r="A544" s="36"/>
      <c r="B544" s="15"/>
      <c r="C544" s="38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ht="15.75" customHeight="1" spans="1:25">
      <c r="A545" s="36"/>
      <c r="B545" s="15"/>
      <c r="C545" s="38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ht="15.75" customHeight="1" spans="1:25">
      <c r="A546" s="36"/>
      <c r="B546" s="15"/>
      <c r="C546" s="38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ht="15.75" customHeight="1" spans="1:25">
      <c r="A547" s="36"/>
      <c r="B547" s="15"/>
      <c r="C547" s="38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ht="15.75" customHeight="1" spans="1:25">
      <c r="A548" s="36"/>
      <c r="B548" s="15"/>
      <c r="C548" s="38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ht="15.75" customHeight="1" spans="1:25">
      <c r="A549" s="36"/>
      <c r="B549" s="15"/>
      <c r="C549" s="38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ht="15.75" customHeight="1" spans="1:25">
      <c r="A550" s="36"/>
      <c r="B550" s="15"/>
      <c r="C550" s="38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ht="15.75" customHeight="1" spans="1:25">
      <c r="A551" s="36"/>
      <c r="B551" s="15"/>
      <c r="C551" s="38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ht="15.75" customHeight="1" spans="1:25">
      <c r="A552" s="36"/>
      <c r="B552" s="15"/>
      <c r="C552" s="38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ht="15.75" customHeight="1" spans="1:25">
      <c r="A553" s="36"/>
      <c r="B553" s="15"/>
      <c r="C553" s="38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ht="15.75" customHeight="1" spans="1:25">
      <c r="A554" s="36"/>
      <c r="B554" s="15"/>
      <c r="C554" s="38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ht="15.75" customHeight="1" spans="1:25">
      <c r="A555" s="36"/>
      <c r="B555" s="15"/>
      <c r="C555" s="38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ht="15.75" customHeight="1" spans="1:25">
      <c r="A556" s="36"/>
      <c r="B556" s="15"/>
      <c r="C556" s="38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ht="15.75" customHeight="1" spans="1:25">
      <c r="A557" s="36"/>
      <c r="B557" s="15"/>
      <c r="C557" s="38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ht="15.75" customHeight="1" spans="1:25">
      <c r="A558" s="36"/>
      <c r="B558" s="15"/>
      <c r="C558" s="38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ht="15.75" customHeight="1" spans="1:25">
      <c r="A559" s="36"/>
      <c r="B559" s="15"/>
      <c r="C559" s="38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ht="15.75" customHeight="1" spans="1:25">
      <c r="A560" s="36"/>
      <c r="B560" s="15"/>
      <c r="C560" s="38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ht="15.75" customHeight="1" spans="1:25">
      <c r="A561" s="36"/>
      <c r="B561" s="15"/>
      <c r="C561" s="38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ht="15.75" customHeight="1" spans="1:25">
      <c r="A562" s="36"/>
      <c r="B562" s="15"/>
      <c r="C562" s="38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ht="15.75" customHeight="1" spans="1:25">
      <c r="A563" s="36"/>
      <c r="B563" s="15"/>
      <c r="C563" s="38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ht="15.75" customHeight="1" spans="1:25">
      <c r="A564" s="36"/>
      <c r="B564" s="15"/>
      <c r="C564" s="38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ht="15.75" customHeight="1" spans="1:25">
      <c r="A565" s="36"/>
      <c r="B565" s="15"/>
      <c r="C565" s="38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ht="15.75" customHeight="1" spans="1:25">
      <c r="A566" s="36"/>
      <c r="B566" s="15"/>
      <c r="C566" s="38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ht="15.75" customHeight="1" spans="1:25">
      <c r="A567" s="36"/>
      <c r="B567" s="15"/>
      <c r="C567" s="38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ht="15.75" customHeight="1" spans="1:25">
      <c r="A568" s="36"/>
      <c r="B568" s="15"/>
      <c r="C568" s="38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ht="15.75" customHeight="1" spans="1:25">
      <c r="A569" s="36"/>
      <c r="B569" s="15"/>
      <c r="C569" s="38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ht="15.75" customHeight="1" spans="1:25">
      <c r="A570" s="36"/>
      <c r="B570" s="15"/>
      <c r="C570" s="38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ht="15.75" customHeight="1" spans="1:25">
      <c r="A571" s="36"/>
      <c r="B571" s="15"/>
      <c r="C571" s="38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ht="15.75" customHeight="1" spans="1:25">
      <c r="A572" s="36"/>
      <c r="B572" s="15"/>
      <c r="C572" s="38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ht="15.75" customHeight="1" spans="1:25">
      <c r="A573" s="36"/>
      <c r="B573" s="15"/>
      <c r="C573" s="38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ht="15.75" customHeight="1" spans="1:25">
      <c r="A574" s="36"/>
      <c r="B574" s="15"/>
      <c r="C574" s="38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ht="15.75" customHeight="1" spans="1:25">
      <c r="A575" s="36"/>
      <c r="B575" s="15"/>
      <c r="C575" s="38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ht="15.75" customHeight="1" spans="1:25">
      <c r="A576" s="36"/>
      <c r="B576" s="15"/>
      <c r="C576" s="38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ht="15.75" customHeight="1" spans="1:25">
      <c r="A577" s="36"/>
      <c r="B577" s="15"/>
      <c r="C577" s="38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ht="15.75" customHeight="1" spans="1:25">
      <c r="A578" s="36"/>
      <c r="B578" s="15"/>
      <c r="C578" s="38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ht="15.75" customHeight="1" spans="1:25">
      <c r="A579" s="36"/>
      <c r="B579" s="15"/>
      <c r="C579" s="38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ht="15.75" customHeight="1" spans="1:25">
      <c r="A580" s="36"/>
      <c r="B580" s="15"/>
      <c r="C580" s="38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ht="15.75" customHeight="1" spans="1:25">
      <c r="A581" s="36"/>
      <c r="B581" s="15"/>
      <c r="C581" s="38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ht="15.75" customHeight="1" spans="1:25">
      <c r="A582" s="36"/>
      <c r="B582" s="15"/>
      <c r="C582" s="38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ht="15.75" customHeight="1" spans="1:25">
      <c r="A583" s="36"/>
      <c r="B583" s="15"/>
      <c r="C583" s="38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ht="15.75" customHeight="1" spans="1:25">
      <c r="A584" s="36"/>
      <c r="B584" s="15"/>
      <c r="C584" s="38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ht="15.75" customHeight="1" spans="1:25">
      <c r="A585" s="36"/>
      <c r="B585" s="15"/>
      <c r="C585" s="38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ht="15.75" customHeight="1" spans="1:25">
      <c r="A586" s="36"/>
      <c r="B586" s="15"/>
      <c r="C586" s="38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ht="15.75" customHeight="1" spans="1:25">
      <c r="A587" s="36"/>
      <c r="B587" s="15"/>
      <c r="C587" s="38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ht="15.75" customHeight="1" spans="1:25">
      <c r="A588" s="36"/>
      <c r="B588" s="15"/>
      <c r="C588" s="38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ht="15.75" customHeight="1" spans="1:25">
      <c r="A589" s="36"/>
      <c r="B589" s="15"/>
      <c r="C589" s="38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ht="15.75" customHeight="1" spans="1:25">
      <c r="A590" s="36"/>
      <c r="B590" s="15"/>
      <c r="C590" s="38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ht="15.75" customHeight="1" spans="1:25">
      <c r="A591" s="36"/>
      <c r="B591" s="15"/>
      <c r="C591" s="38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ht="15.75" customHeight="1" spans="1:25">
      <c r="A592" s="36"/>
      <c r="B592" s="15"/>
      <c r="C592" s="38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ht="15.75" customHeight="1" spans="1:25">
      <c r="A593" s="36"/>
      <c r="B593" s="15"/>
      <c r="C593" s="38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ht="15.75" customHeight="1" spans="1:25">
      <c r="A594" s="36"/>
      <c r="B594" s="15"/>
      <c r="C594" s="38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ht="15.75" customHeight="1" spans="1:25">
      <c r="A595" s="36"/>
      <c r="B595" s="15"/>
      <c r="C595" s="38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ht="15.75" customHeight="1" spans="1:25">
      <c r="A596" s="36"/>
      <c r="B596" s="15"/>
      <c r="C596" s="38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ht="15.75" customHeight="1" spans="1:25">
      <c r="A597" s="36"/>
      <c r="B597" s="15"/>
      <c r="C597" s="38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ht="15.75" customHeight="1" spans="1:25">
      <c r="A598" s="36"/>
      <c r="B598" s="15"/>
      <c r="C598" s="38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ht="15.75" customHeight="1" spans="1:25">
      <c r="A599" s="36"/>
      <c r="B599" s="15"/>
      <c r="C599" s="38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ht="15.75" customHeight="1" spans="1:25">
      <c r="A600" s="36"/>
      <c r="B600" s="15"/>
      <c r="C600" s="38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ht="15.75" customHeight="1" spans="1:25">
      <c r="A601" s="36"/>
      <c r="B601" s="15"/>
      <c r="C601" s="38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ht="15.75" customHeight="1" spans="1:25">
      <c r="A602" s="36"/>
      <c r="B602" s="15"/>
      <c r="C602" s="38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ht="15.75" customHeight="1" spans="1:25">
      <c r="A603" s="36"/>
      <c r="B603" s="15"/>
      <c r="C603" s="38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ht="15.75" customHeight="1" spans="1:25">
      <c r="A604" s="36"/>
      <c r="B604" s="15"/>
      <c r="C604" s="38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ht="15.75" customHeight="1" spans="1:25">
      <c r="A605" s="36"/>
      <c r="B605" s="15"/>
      <c r="C605" s="38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ht="15.75" customHeight="1" spans="1:25">
      <c r="A606" s="36"/>
      <c r="B606" s="15"/>
      <c r="C606" s="38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ht="15.75" customHeight="1" spans="1:25">
      <c r="A607" s="36"/>
      <c r="B607" s="15"/>
      <c r="C607" s="38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ht="15.75" customHeight="1" spans="1:25">
      <c r="A608" s="36"/>
      <c r="B608" s="15"/>
      <c r="C608" s="38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ht="15.75" customHeight="1" spans="1:25">
      <c r="A609" s="36"/>
      <c r="B609" s="15"/>
      <c r="C609" s="38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ht="15.75" customHeight="1" spans="1:25">
      <c r="A610" s="36"/>
      <c r="B610" s="15"/>
      <c r="C610" s="38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ht="15.75" customHeight="1" spans="1:25">
      <c r="A611" s="36"/>
      <c r="B611" s="15"/>
      <c r="C611" s="38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ht="15.75" customHeight="1" spans="1:25">
      <c r="A612" s="36"/>
      <c r="B612" s="15"/>
      <c r="C612" s="38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ht="15.75" customHeight="1" spans="1:25">
      <c r="A613" s="36"/>
      <c r="B613" s="15"/>
      <c r="C613" s="38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ht="15.75" customHeight="1" spans="1:25">
      <c r="A614" s="36"/>
      <c r="B614" s="15"/>
      <c r="C614" s="38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ht="15.75" customHeight="1" spans="1:25">
      <c r="A615" s="36"/>
      <c r="B615" s="15"/>
      <c r="C615" s="38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ht="15.75" customHeight="1" spans="1:25">
      <c r="A616" s="36"/>
      <c r="B616" s="15"/>
      <c r="C616" s="38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ht="15.75" customHeight="1" spans="1:25">
      <c r="A617" s="36"/>
      <c r="B617" s="15"/>
      <c r="C617" s="38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ht="15.75" customHeight="1" spans="1:25">
      <c r="A618" s="36"/>
      <c r="B618" s="15"/>
      <c r="C618" s="38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ht="15.75" customHeight="1" spans="1:25">
      <c r="A619" s="36"/>
      <c r="B619" s="15"/>
      <c r="C619" s="38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ht="15.75" customHeight="1" spans="1:25">
      <c r="A620" s="36"/>
      <c r="B620" s="15"/>
      <c r="C620" s="38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ht="15.75" customHeight="1" spans="1:25">
      <c r="A621" s="36"/>
      <c r="B621" s="15"/>
      <c r="C621" s="38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ht="15.75" customHeight="1" spans="1:25">
      <c r="A622" s="36"/>
      <c r="B622" s="15"/>
      <c r="C622" s="38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ht="15.75" customHeight="1" spans="1:25">
      <c r="A623" s="36"/>
      <c r="B623" s="15"/>
      <c r="C623" s="38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ht="15.75" customHeight="1" spans="1:25">
      <c r="A624" s="36"/>
      <c r="B624" s="15"/>
      <c r="C624" s="38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ht="15.75" customHeight="1" spans="1:25">
      <c r="A625" s="36"/>
      <c r="B625" s="15"/>
      <c r="C625" s="38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ht="15.75" customHeight="1" spans="1:25">
      <c r="A626" s="36"/>
      <c r="B626" s="15"/>
      <c r="C626" s="38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ht="15.75" customHeight="1" spans="1:25">
      <c r="A627" s="36"/>
      <c r="B627" s="15"/>
      <c r="C627" s="38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ht="15.75" customHeight="1" spans="1:25">
      <c r="A628" s="36"/>
      <c r="B628" s="15"/>
      <c r="C628" s="38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ht="15.75" customHeight="1" spans="1:25">
      <c r="A629" s="36"/>
      <c r="B629" s="15"/>
      <c r="C629" s="38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ht="15.75" customHeight="1" spans="1:25">
      <c r="A630" s="36"/>
      <c r="B630" s="15"/>
      <c r="C630" s="38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ht="15.75" customHeight="1" spans="1:25">
      <c r="A631" s="36"/>
      <c r="B631" s="15"/>
      <c r="C631" s="38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ht="15.75" customHeight="1" spans="1:25">
      <c r="A632" s="36"/>
      <c r="B632" s="15"/>
      <c r="C632" s="38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ht="15.75" customHeight="1" spans="1:25">
      <c r="A633" s="36"/>
      <c r="B633" s="15"/>
      <c r="C633" s="38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ht="15.75" customHeight="1" spans="1:25">
      <c r="A634" s="36"/>
      <c r="B634" s="15"/>
      <c r="C634" s="38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ht="15.75" customHeight="1" spans="1:25">
      <c r="A635" s="36"/>
      <c r="B635" s="15"/>
      <c r="C635" s="38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ht="15.75" customHeight="1" spans="1:25">
      <c r="A636" s="36"/>
      <c r="B636" s="15"/>
      <c r="C636" s="38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ht="15.75" customHeight="1" spans="1:25">
      <c r="A637" s="36"/>
      <c r="B637" s="15"/>
      <c r="C637" s="38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ht="15.75" customHeight="1" spans="1:25">
      <c r="A638" s="36"/>
      <c r="B638" s="15"/>
      <c r="C638" s="38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ht="15.75" customHeight="1" spans="1:25">
      <c r="A639" s="36"/>
      <c r="B639" s="15"/>
      <c r="C639" s="38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ht="15.75" customHeight="1" spans="1:25">
      <c r="A640" s="36"/>
      <c r="B640" s="15"/>
      <c r="C640" s="38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ht="15.75" customHeight="1" spans="1:25">
      <c r="A641" s="36"/>
      <c r="B641" s="15"/>
      <c r="C641" s="38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ht="15.75" customHeight="1" spans="1:25">
      <c r="A642" s="36"/>
      <c r="B642" s="15"/>
      <c r="C642" s="38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ht="15.75" customHeight="1" spans="1:25">
      <c r="A643" s="36"/>
      <c r="B643" s="15"/>
      <c r="C643" s="38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ht="15.75" customHeight="1" spans="1:25">
      <c r="A644" s="36"/>
      <c r="B644" s="15"/>
      <c r="C644" s="38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ht="15.75" customHeight="1" spans="1:25">
      <c r="A645" s="36"/>
      <c r="B645" s="15"/>
      <c r="C645" s="38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ht="15.75" customHeight="1" spans="1:25">
      <c r="A646" s="36"/>
      <c r="B646" s="15"/>
      <c r="C646" s="38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ht="15.75" customHeight="1" spans="1:25">
      <c r="A647" s="36"/>
      <c r="B647" s="15"/>
      <c r="C647" s="38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ht="15.75" customHeight="1" spans="1:25">
      <c r="A648" s="36"/>
      <c r="B648" s="15"/>
      <c r="C648" s="38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ht="15.75" customHeight="1" spans="1:25">
      <c r="A649" s="36"/>
      <c r="B649" s="15"/>
      <c r="C649" s="38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ht="15.75" customHeight="1" spans="1:25">
      <c r="A650" s="36"/>
      <c r="B650" s="15"/>
      <c r="C650" s="38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ht="15.75" customHeight="1" spans="1:25">
      <c r="A651" s="36"/>
      <c r="B651" s="15"/>
      <c r="C651" s="38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ht="15.75" customHeight="1" spans="1:25">
      <c r="A652" s="36"/>
      <c r="B652" s="15"/>
      <c r="C652" s="38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ht="15.75" customHeight="1" spans="1:25">
      <c r="A653" s="36"/>
      <c r="B653" s="15"/>
      <c r="C653" s="38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ht="15.75" customHeight="1" spans="1:25">
      <c r="A654" s="36"/>
      <c r="B654" s="15"/>
      <c r="C654" s="38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ht="15.75" customHeight="1" spans="1:25">
      <c r="A655" s="36"/>
      <c r="B655" s="15"/>
      <c r="C655" s="38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ht="15.75" customHeight="1" spans="1:25">
      <c r="A656" s="36"/>
      <c r="B656" s="15"/>
      <c r="C656" s="38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ht="15.75" customHeight="1" spans="1:25">
      <c r="A657" s="36"/>
      <c r="B657" s="15"/>
      <c r="C657" s="38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ht="15.75" customHeight="1" spans="1:25">
      <c r="A658" s="36"/>
      <c r="B658" s="15"/>
      <c r="C658" s="38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ht="15.75" customHeight="1" spans="1:25">
      <c r="A659" s="36"/>
      <c r="B659" s="15"/>
      <c r="C659" s="38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ht="15.75" customHeight="1" spans="1:25">
      <c r="A660" s="36"/>
      <c r="B660" s="15"/>
      <c r="C660" s="38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ht="15.75" customHeight="1" spans="1:25">
      <c r="A661" s="36"/>
      <c r="B661" s="15"/>
      <c r="C661" s="38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ht="15.75" customHeight="1" spans="1:25">
      <c r="A662" s="36"/>
      <c r="B662" s="15"/>
      <c r="C662" s="38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ht="15.75" customHeight="1" spans="1:25">
      <c r="A663" s="36"/>
      <c r="B663" s="15"/>
      <c r="C663" s="38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ht="15.75" customHeight="1" spans="1:25">
      <c r="A664" s="36"/>
      <c r="B664" s="15"/>
      <c r="C664" s="38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ht="15.75" customHeight="1" spans="1:25">
      <c r="A665" s="36"/>
      <c r="B665" s="15"/>
      <c r="C665" s="38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ht="15.75" customHeight="1" spans="1:25">
      <c r="A666" s="36"/>
      <c r="B666" s="15"/>
      <c r="C666" s="38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ht="15.75" customHeight="1" spans="1:25">
      <c r="A667" s="36"/>
      <c r="B667" s="15"/>
      <c r="C667" s="38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ht="15.75" customHeight="1" spans="1:25">
      <c r="A668" s="36"/>
      <c r="B668" s="15"/>
      <c r="C668" s="38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ht="15.75" customHeight="1" spans="1:25">
      <c r="A669" s="36"/>
      <c r="B669" s="15"/>
      <c r="C669" s="38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ht="15.75" customHeight="1" spans="1:25">
      <c r="A670" s="36"/>
      <c r="B670" s="15"/>
      <c r="C670" s="38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ht="15.75" customHeight="1" spans="1:25">
      <c r="A671" s="36"/>
      <c r="B671" s="15"/>
      <c r="C671" s="38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ht="15.75" customHeight="1" spans="1:25">
      <c r="A672" s="36"/>
      <c r="B672" s="15"/>
      <c r="C672" s="38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ht="15.75" customHeight="1" spans="1:25">
      <c r="A673" s="36"/>
      <c r="B673" s="15"/>
      <c r="C673" s="38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ht="15.75" customHeight="1" spans="1:25">
      <c r="A674" s="36"/>
      <c r="B674" s="15"/>
      <c r="C674" s="38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ht="15.75" customHeight="1" spans="1:25">
      <c r="A675" s="36"/>
      <c r="B675" s="15"/>
      <c r="C675" s="38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ht="15.75" customHeight="1" spans="1:25">
      <c r="A676" s="36"/>
      <c r="B676" s="15"/>
      <c r="C676" s="38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ht="15.75" customHeight="1" spans="1:25">
      <c r="A677" s="36"/>
      <c r="B677" s="15"/>
      <c r="C677" s="38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ht="15.75" customHeight="1" spans="1:25">
      <c r="A678" s="36"/>
      <c r="B678" s="15"/>
      <c r="C678" s="38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ht="15.75" customHeight="1" spans="1:25">
      <c r="A679" s="36"/>
      <c r="B679" s="15"/>
      <c r="C679" s="38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ht="15.75" customHeight="1" spans="1:25">
      <c r="A680" s="36"/>
      <c r="B680" s="15"/>
      <c r="C680" s="38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ht="15.75" customHeight="1" spans="1:25">
      <c r="A681" s="36"/>
      <c r="B681" s="15"/>
      <c r="C681" s="38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ht="15.75" customHeight="1" spans="1:25">
      <c r="A682" s="36"/>
      <c r="B682" s="15"/>
      <c r="C682" s="38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ht="15.75" customHeight="1" spans="1:25">
      <c r="A683" s="36"/>
      <c r="B683" s="15"/>
      <c r="C683" s="38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ht="15.75" customHeight="1" spans="1:25">
      <c r="A684" s="36"/>
      <c r="B684" s="15"/>
      <c r="C684" s="38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ht="15.75" customHeight="1" spans="1:25">
      <c r="A685" s="36"/>
      <c r="B685" s="15"/>
      <c r="C685" s="38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ht="15.75" customHeight="1" spans="1:25">
      <c r="A686" s="36"/>
      <c r="B686" s="15"/>
      <c r="C686" s="38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ht="15.75" customHeight="1" spans="1:25">
      <c r="A687" s="36"/>
      <c r="B687" s="15"/>
      <c r="C687" s="38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ht="15.75" customHeight="1" spans="1:25">
      <c r="A688" s="36"/>
      <c r="B688" s="15"/>
      <c r="C688" s="38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ht="15.75" customHeight="1" spans="1:25">
      <c r="A689" s="36"/>
      <c r="B689" s="15"/>
      <c r="C689" s="38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ht="15.75" customHeight="1" spans="1:25">
      <c r="A690" s="36"/>
      <c r="B690" s="15"/>
      <c r="C690" s="38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ht="15.75" customHeight="1" spans="1:25">
      <c r="A691" s="36"/>
      <c r="B691" s="15"/>
      <c r="C691" s="38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ht="15.75" customHeight="1" spans="1:25">
      <c r="A692" s="36"/>
      <c r="B692" s="15"/>
      <c r="C692" s="38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ht="15.75" customHeight="1" spans="1:25">
      <c r="A693" s="36"/>
      <c r="B693" s="15"/>
      <c r="C693" s="38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ht="15.75" customHeight="1" spans="1:25">
      <c r="A694" s="36"/>
      <c r="B694" s="15"/>
      <c r="C694" s="38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ht="15.75" customHeight="1" spans="1:25">
      <c r="A695" s="36"/>
      <c r="B695" s="15"/>
      <c r="C695" s="38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ht="15.75" customHeight="1" spans="1:25">
      <c r="A696" s="36"/>
      <c r="B696" s="15"/>
      <c r="C696" s="38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ht="15.75" customHeight="1" spans="1:25">
      <c r="A697" s="36"/>
      <c r="B697" s="15"/>
      <c r="C697" s="38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ht="15.75" customHeight="1" spans="1:25">
      <c r="A698" s="36"/>
      <c r="B698" s="15"/>
      <c r="C698" s="38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ht="15.75" customHeight="1" spans="1:25">
      <c r="A699" s="36"/>
      <c r="B699" s="15"/>
      <c r="C699" s="38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ht="15.75" customHeight="1" spans="1:25">
      <c r="A700" s="36"/>
      <c r="B700" s="15"/>
      <c r="C700" s="38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ht="15.75" customHeight="1" spans="1:25">
      <c r="A701" s="36"/>
      <c r="B701" s="15"/>
      <c r="C701" s="38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ht="15.75" customHeight="1" spans="1:25">
      <c r="A702" s="36"/>
      <c r="B702" s="15"/>
      <c r="C702" s="38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ht="15.75" customHeight="1" spans="1:25">
      <c r="A703" s="36"/>
      <c r="B703" s="15"/>
      <c r="C703" s="38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ht="15.75" customHeight="1" spans="1:25">
      <c r="A704" s="36"/>
      <c r="B704" s="15"/>
      <c r="C704" s="38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ht="15.75" customHeight="1" spans="1:25">
      <c r="A705" s="36"/>
      <c r="B705" s="15"/>
      <c r="C705" s="38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ht="15.75" customHeight="1" spans="1:25">
      <c r="A706" s="36"/>
      <c r="B706" s="15"/>
      <c r="C706" s="38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ht="15.75" customHeight="1" spans="1:25">
      <c r="A707" s="36"/>
      <c r="B707" s="15"/>
      <c r="C707" s="38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ht="15.75" customHeight="1" spans="1:25">
      <c r="A708" s="36"/>
      <c r="B708" s="15"/>
      <c r="C708" s="38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ht="15.75" customHeight="1" spans="1:25">
      <c r="A709" s="36"/>
      <c r="B709" s="15"/>
      <c r="C709" s="38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ht="15.75" customHeight="1" spans="1:25">
      <c r="A710" s="36"/>
      <c r="B710" s="15"/>
      <c r="C710" s="38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ht="15.75" customHeight="1" spans="1:25">
      <c r="A711" s="36"/>
      <c r="B711" s="15"/>
      <c r="C711" s="38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ht="15.75" customHeight="1" spans="1:25">
      <c r="A712" s="36"/>
      <c r="B712" s="15"/>
      <c r="C712" s="38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ht="15.75" customHeight="1" spans="1:25">
      <c r="A713" s="36"/>
      <c r="B713" s="15"/>
      <c r="C713" s="38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ht="15.75" customHeight="1" spans="1:25">
      <c r="A714" s="36"/>
      <c r="B714" s="15"/>
      <c r="C714" s="38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ht="15.75" customHeight="1" spans="1:25">
      <c r="A715" s="36"/>
      <c r="B715" s="15"/>
      <c r="C715" s="38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ht="15.75" customHeight="1" spans="1:25">
      <c r="A716" s="36"/>
      <c r="B716" s="15"/>
      <c r="C716" s="38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ht="15.75" customHeight="1" spans="1:25">
      <c r="A717" s="36"/>
      <c r="B717" s="15"/>
      <c r="C717" s="38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ht="15.75" customHeight="1" spans="1:25">
      <c r="A718" s="36"/>
      <c r="B718" s="15"/>
      <c r="C718" s="38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ht="15.75" customHeight="1" spans="1:25">
      <c r="A719" s="36"/>
      <c r="B719" s="15"/>
      <c r="C719" s="38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ht="15.75" customHeight="1" spans="1:25">
      <c r="A720" s="36"/>
      <c r="B720" s="15"/>
      <c r="C720" s="38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ht="15.75" customHeight="1" spans="1:25">
      <c r="A721" s="36"/>
      <c r="B721" s="15"/>
      <c r="C721" s="38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ht="15.75" customHeight="1" spans="1:25">
      <c r="A722" s="36"/>
      <c r="B722" s="15"/>
      <c r="C722" s="38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ht="15.75" customHeight="1" spans="1:25">
      <c r="A723" s="36"/>
      <c r="B723" s="15"/>
      <c r="C723" s="38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ht="15.75" customHeight="1" spans="1:25">
      <c r="A724" s="36"/>
      <c r="B724" s="15"/>
      <c r="C724" s="38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ht="15.75" customHeight="1" spans="1:25">
      <c r="A725" s="36"/>
      <c r="B725" s="15"/>
      <c r="C725" s="38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ht="15.75" customHeight="1" spans="1:25">
      <c r="A726" s="36"/>
      <c r="B726" s="15"/>
      <c r="C726" s="38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ht="15.75" customHeight="1" spans="1:25">
      <c r="A727" s="36"/>
      <c r="B727" s="15"/>
      <c r="C727" s="38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ht="15.75" customHeight="1" spans="1:25">
      <c r="A728" s="36"/>
      <c r="B728" s="15"/>
      <c r="C728" s="38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ht="15.75" customHeight="1" spans="1:25">
      <c r="A729" s="36"/>
      <c r="B729" s="15"/>
      <c r="C729" s="38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ht="15.75" customHeight="1" spans="1:25">
      <c r="A730" s="36"/>
      <c r="B730" s="15"/>
      <c r="C730" s="38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ht="15.75" customHeight="1" spans="1:25">
      <c r="A731" s="36"/>
      <c r="B731" s="15"/>
      <c r="C731" s="38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ht="15.75" customHeight="1" spans="1:25">
      <c r="A732" s="36"/>
      <c r="B732" s="15"/>
      <c r="C732" s="38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ht="15.75" customHeight="1" spans="1:25">
      <c r="A733" s="36"/>
      <c r="B733" s="15"/>
      <c r="C733" s="38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ht="15.75" customHeight="1" spans="1:25">
      <c r="A734" s="36"/>
      <c r="B734" s="15"/>
      <c r="C734" s="38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ht="15.75" customHeight="1" spans="1:25">
      <c r="A735" s="36"/>
      <c r="B735" s="15"/>
      <c r="C735" s="38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ht="15.75" customHeight="1" spans="1:25">
      <c r="A736" s="36"/>
      <c r="B736" s="15"/>
      <c r="C736" s="38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ht="15.75" customHeight="1" spans="1:25">
      <c r="A737" s="36"/>
      <c r="B737" s="15"/>
      <c r="C737" s="38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ht="15.75" customHeight="1" spans="1:25">
      <c r="A738" s="36"/>
      <c r="B738" s="15"/>
      <c r="C738" s="38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ht="15.75" customHeight="1" spans="1:25">
      <c r="A739" s="36"/>
      <c r="B739" s="15"/>
      <c r="C739" s="38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ht="15.75" customHeight="1" spans="1:25">
      <c r="A740" s="36"/>
      <c r="B740" s="15"/>
      <c r="C740" s="38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ht="15.75" customHeight="1" spans="1:25">
      <c r="A741" s="36"/>
      <c r="B741" s="15"/>
      <c r="C741" s="38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ht="15.75" customHeight="1" spans="1:25">
      <c r="A742" s="36"/>
      <c r="B742" s="15"/>
      <c r="C742" s="38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ht="15.75" customHeight="1" spans="1:25">
      <c r="A743" s="36"/>
      <c r="B743" s="15"/>
      <c r="C743" s="38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ht="15.75" customHeight="1" spans="1:25">
      <c r="A744" s="36"/>
      <c r="B744" s="15"/>
      <c r="C744" s="38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ht="15.75" customHeight="1" spans="1:25">
      <c r="A745" s="36"/>
      <c r="B745" s="15"/>
      <c r="C745" s="38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ht="15.75" customHeight="1" spans="1:25">
      <c r="A746" s="36"/>
      <c r="B746" s="15"/>
      <c r="C746" s="38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ht="15.75" customHeight="1" spans="1:25">
      <c r="A747" s="36"/>
      <c r="B747" s="15"/>
      <c r="C747" s="38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ht="15.75" customHeight="1" spans="1:25">
      <c r="A748" s="36"/>
      <c r="B748" s="15"/>
      <c r="C748" s="38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ht="15.75" customHeight="1" spans="1:25">
      <c r="A749" s="36"/>
      <c r="B749" s="15"/>
      <c r="C749" s="38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ht="15.75" customHeight="1" spans="1:25">
      <c r="A750" s="36"/>
      <c r="B750" s="15"/>
      <c r="C750" s="38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ht="15.75" customHeight="1" spans="1:25">
      <c r="A751" s="36"/>
      <c r="B751" s="15"/>
      <c r="C751" s="38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ht="15.75" customHeight="1" spans="1:25">
      <c r="A752" s="36"/>
      <c r="B752" s="15"/>
      <c r="C752" s="38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ht="15.75" customHeight="1" spans="1:25">
      <c r="A753" s="36"/>
      <c r="B753" s="15"/>
      <c r="C753" s="38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ht="15.75" customHeight="1" spans="1:25">
      <c r="A754" s="36"/>
      <c r="B754" s="15"/>
      <c r="C754" s="38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ht="15.75" customHeight="1" spans="1:25">
      <c r="A755" s="36"/>
      <c r="B755" s="15"/>
      <c r="C755" s="38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ht="15.75" customHeight="1" spans="1:25">
      <c r="A756" s="36"/>
      <c r="B756" s="15"/>
      <c r="C756" s="38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ht="15.75" customHeight="1" spans="1:25">
      <c r="A757" s="36"/>
      <c r="B757" s="15"/>
      <c r="C757" s="38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ht="15.75" customHeight="1" spans="1:25">
      <c r="A758" s="36"/>
      <c r="B758" s="15"/>
      <c r="C758" s="38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ht="15.75" customHeight="1" spans="1:25">
      <c r="A759" s="36"/>
      <c r="B759" s="15"/>
      <c r="C759" s="38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ht="15.75" customHeight="1" spans="1:25">
      <c r="A760" s="36"/>
      <c r="B760" s="15"/>
      <c r="C760" s="38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ht="15.75" customHeight="1" spans="1:25">
      <c r="A761" s="36"/>
      <c r="B761" s="15"/>
      <c r="C761" s="38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ht="15.75" customHeight="1" spans="1:25">
      <c r="A762" s="36"/>
      <c r="B762" s="15"/>
      <c r="C762" s="38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ht="15.75" customHeight="1" spans="1:25">
      <c r="A763" s="36"/>
      <c r="B763" s="15"/>
      <c r="C763" s="38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ht="15.75" customHeight="1" spans="1:25">
      <c r="A764" s="36"/>
      <c r="B764" s="15"/>
      <c r="C764" s="38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ht="15.75" customHeight="1" spans="1:25">
      <c r="A765" s="36"/>
      <c r="B765" s="15"/>
      <c r="C765" s="38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ht="15.75" customHeight="1" spans="1:25">
      <c r="A766" s="36"/>
      <c r="B766" s="15"/>
      <c r="C766" s="38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ht="15.75" customHeight="1" spans="1:25">
      <c r="A767" s="36"/>
      <c r="B767" s="15"/>
      <c r="C767" s="38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ht="15.75" customHeight="1" spans="1:25">
      <c r="A768" s="36"/>
      <c r="B768" s="15"/>
      <c r="C768" s="38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ht="15.75" customHeight="1" spans="1:25">
      <c r="A769" s="36"/>
      <c r="B769" s="15"/>
      <c r="C769" s="38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ht="15.75" customHeight="1" spans="1:25">
      <c r="A770" s="36"/>
      <c r="B770" s="15"/>
      <c r="C770" s="38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ht="15.75" customHeight="1" spans="1:25">
      <c r="A771" s="36"/>
      <c r="B771" s="15"/>
      <c r="C771" s="38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ht="15.75" customHeight="1" spans="1:25">
      <c r="A772" s="36"/>
      <c r="B772" s="15"/>
      <c r="C772" s="38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ht="15.75" customHeight="1" spans="1:25">
      <c r="A773" s="36"/>
      <c r="B773" s="15"/>
      <c r="C773" s="38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ht="15.75" customHeight="1" spans="1:25">
      <c r="A774" s="36"/>
      <c r="B774" s="15"/>
      <c r="C774" s="38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ht="15.75" customHeight="1" spans="1:25">
      <c r="A775" s="36"/>
      <c r="B775" s="15"/>
      <c r="C775" s="38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ht="15.75" customHeight="1" spans="1:25">
      <c r="A776" s="36"/>
      <c r="B776" s="15"/>
      <c r="C776" s="38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ht="15.75" customHeight="1" spans="1:25">
      <c r="A777" s="36"/>
      <c r="B777" s="15"/>
      <c r="C777" s="38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ht="15.75" customHeight="1" spans="1:25">
      <c r="A778" s="36"/>
      <c r="B778" s="15"/>
      <c r="C778" s="38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ht="15.75" customHeight="1" spans="1:25">
      <c r="A779" s="36"/>
      <c r="B779" s="15"/>
      <c r="C779" s="38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ht="15.75" customHeight="1" spans="1:25">
      <c r="A780" s="36"/>
      <c r="B780" s="15"/>
      <c r="C780" s="38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ht="15.75" customHeight="1" spans="1:25">
      <c r="A781" s="36"/>
      <c r="B781" s="15"/>
      <c r="C781" s="38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ht="15.75" customHeight="1" spans="1:25">
      <c r="A782" s="36"/>
      <c r="B782" s="15"/>
      <c r="C782" s="38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ht="15.75" customHeight="1" spans="1:25">
      <c r="A783" s="36"/>
      <c r="B783" s="15"/>
      <c r="C783" s="38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ht="15.75" customHeight="1" spans="1:25">
      <c r="A784" s="36"/>
      <c r="B784" s="15"/>
      <c r="C784" s="38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ht="15.75" customHeight="1" spans="1:25">
      <c r="A785" s="36"/>
      <c r="B785" s="15"/>
      <c r="C785" s="38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ht="15.75" customHeight="1" spans="1:25">
      <c r="A786" s="36"/>
      <c r="B786" s="15"/>
      <c r="C786" s="38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ht="15.75" customHeight="1" spans="1:25">
      <c r="A787" s="36"/>
      <c r="B787" s="15"/>
      <c r="C787" s="38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ht="15.75" customHeight="1" spans="1:25">
      <c r="A788" s="36"/>
      <c r="B788" s="15"/>
      <c r="C788" s="38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ht="15.75" customHeight="1" spans="1:25">
      <c r="A789" s="36"/>
      <c r="B789" s="15"/>
      <c r="C789" s="38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ht="15.75" customHeight="1" spans="1:25">
      <c r="A790" s="36"/>
      <c r="B790" s="15"/>
      <c r="C790" s="38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ht="15.75" customHeight="1" spans="1:25">
      <c r="A791" s="36"/>
      <c r="B791" s="15"/>
      <c r="C791" s="38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ht="15.75" customHeight="1" spans="1:25">
      <c r="A792" s="36"/>
      <c r="B792" s="15"/>
      <c r="C792" s="38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ht="15.75" customHeight="1" spans="1:25">
      <c r="A793" s="36"/>
      <c r="B793" s="15"/>
      <c r="C793" s="38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ht="15.75" customHeight="1" spans="1:25">
      <c r="A794" s="36"/>
      <c r="B794" s="15"/>
      <c r="C794" s="38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ht="15.75" customHeight="1" spans="1:25">
      <c r="A795" s="36"/>
      <c r="B795" s="15"/>
      <c r="C795" s="38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ht="15.75" customHeight="1" spans="1:25">
      <c r="A796" s="36"/>
      <c r="B796" s="15"/>
      <c r="C796" s="38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ht="15.75" customHeight="1" spans="1:25">
      <c r="A797" s="36"/>
      <c r="B797" s="15"/>
      <c r="C797" s="38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ht="15.75" customHeight="1" spans="1:25">
      <c r="A798" s="36"/>
      <c r="B798" s="15"/>
      <c r="C798" s="38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ht="15.75" customHeight="1" spans="1:25">
      <c r="A799" s="36"/>
      <c r="B799" s="15"/>
      <c r="C799" s="38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ht="15.75" customHeight="1" spans="1:25">
      <c r="A800" s="36"/>
      <c r="B800" s="15"/>
      <c r="C800" s="38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ht="15.75" customHeight="1" spans="1:25">
      <c r="A801" s="36"/>
      <c r="B801" s="15"/>
      <c r="C801" s="38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ht="15.75" customHeight="1" spans="1:25">
      <c r="A802" s="36"/>
      <c r="B802" s="15"/>
      <c r="C802" s="38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ht="15.75" customHeight="1" spans="1:25">
      <c r="A803" s="36"/>
      <c r="B803" s="15"/>
      <c r="C803" s="38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ht="15.75" customHeight="1" spans="1:25">
      <c r="A804" s="36"/>
      <c r="B804" s="15"/>
      <c r="C804" s="38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ht="15.75" customHeight="1" spans="1:25">
      <c r="A805" s="36"/>
      <c r="B805" s="15"/>
      <c r="C805" s="38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ht="15.75" customHeight="1" spans="1:25">
      <c r="A806" s="36"/>
      <c r="B806" s="15"/>
      <c r="C806" s="38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ht="15.75" customHeight="1" spans="1:25">
      <c r="A807" s="36"/>
      <c r="B807" s="15"/>
      <c r="C807" s="38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ht="15.75" customHeight="1" spans="1:25">
      <c r="A808" s="36"/>
      <c r="B808" s="15"/>
      <c r="C808" s="38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ht="15.75" customHeight="1" spans="1:25">
      <c r="A809" s="36"/>
      <c r="B809" s="15"/>
      <c r="C809" s="38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ht="15.75" customHeight="1" spans="1:25">
      <c r="A810" s="36"/>
      <c r="B810" s="15"/>
      <c r="C810" s="38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ht="15.75" customHeight="1" spans="1:25">
      <c r="A811" s="36"/>
      <c r="B811" s="15"/>
      <c r="C811" s="38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ht="15.75" customHeight="1" spans="1:25">
      <c r="A812" s="36"/>
      <c r="B812" s="15"/>
      <c r="C812" s="38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ht="15.75" customHeight="1" spans="1:25">
      <c r="A813" s="36"/>
      <c r="B813" s="15"/>
      <c r="C813" s="38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ht="15.75" customHeight="1" spans="1:25">
      <c r="A814" s="36"/>
      <c r="B814" s="15"/>
      <c r="C814" s="38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ht="15.75" customHeight="1" spans="1:25">
      <c r="A815" s="36"/>
      <c r="B815" s="15"/>
      <c r="C815" s="38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ht="15.75" customHeight="1" spans="1:25">
      <c r="A816" s="36"/>
      <c r="B816" s="15"/>
      <c r="C816" s="38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ht="15.75" customHeight="1" spans="1:25">
      <c r="A817" s="36"/>
      <c r="B817" s="15"/>
      <c r="C817" s="38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ht="15.75" customHeight="1" spans="1:25">
      <c r="A818" s="36"/>
      <c r="B818" s="15"/>
      <c r="C818" s="38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ht="15.75" customHeight="1" spans="1:25">
      <c r="A819" s="36"/>
      <c r="B819" s="15"/>
      <c r="C819" s="38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ht="15.75" customHeight="1" spans="1:25">
      <c r="A820" s="36"/>
      <c r="B820" s="15"/>
      <c r="C820" s="38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ht="15.75" customHeight="1" spans="1:25">
      <c r="A821" s="36"/>
      <c r="B821" s="15"/>
      <c r="C821" s="38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ht="15.75" customHeight="1" spans="1:25">
      <c r="A822" s="36"/>
      <c r="B822" s="15"/>
      <c r="C822" s="38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ht="15.75" customHeight="1" spans="1:25">
      <c r="A823" s="36"/>
      <c r="B823" s="15"/>
      <c r="C823" s="38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ht="15.75" customHeight="1" spans="1:25">
      <c r="A824" s="36"/>
      <c r="B824" s="15"/>
      <c r="C824" s="38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ht="15.75" customHeight="1" spans="1:25">
      <c r="A825" s="36"/>
      <c r="B825" s="15"/>
      <c r="C825" s="38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ht="15.75" customHeight="1" spans="1:25">
      <c r="A826" s="36"/>
      <c r="B826" s="15"/>
      <c r="C826" s="38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ht="15.75" customHeight="1" spans="1:25">
      <c r="A827" s="36"/>
      <c r="B827" s="15"/>
      <c r="C827" s="38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ht="15.75" customHeight="1" spans="1:25">
      <c r="A828" s="36"/>
      <c r="B828" s="15"/>
      <c r="C828" s="38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ht="15.75" customHeight="1" spans="1:25">
      <c r="A829" s="36"/>
      <c r="B829" s="15"/>
      <c r="C829" s="38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ht="15.75" customHeight="1" spans="1:25">
      <c r="A830" s="36"/>
      <c r="B830" s="15"/>
      <c r="C830" s="38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ht="15.75" customHeight="1" spans="1:25">
      <c r="A831" s="36"/>
      <c r="B831" s="15"/>
      <c r="C831" s="38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ht="15.75" customHeight="1" spans="1:25">
      <c r="A832" s="36"/>
      <c r="B832" s="15"/>
      <c r="C832" s="38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ht="15.75" customHeight="1" spans="1:25">
      <c r="A833" s="36"/>
      <c r="B833" s="15"/>
      <c r="C833" s="38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ht="15.75" customHeight="1" spans="1:25">
      <c r="A834" s="36"/>
      <c r="B834" s="15"/>
      <c r="C834" s="38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ht="15.75" customHeight="1" spans="1:25">
      <c r="A835" s="36"/>
      <c r="B835" s="15"/>
      <c r="C835" s="38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ht="15.75" customHeight="1" spans="1:25">
      <c r="A836" s="36"/>
      <c r="B836" s="15"/>
      <c r="C836" s="38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ht="15.75" customHeight="1" spans="1:25">
      <c r="A837" s="36"/>
      <c r="B837" s="15"/>
      <c r="C837" s="38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ht="15.75" customHeight="1" spans="1:25">
      <c r="A838" s="36"/>
      <c r="B838" s="15"/>
      <c r="C838" s="38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ht="15.75" customHeight="1" spans="1:25">
      <c r="A839" s="36"/>
      <c r="B839" s="15"/>
      <c r="C839" s="38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ht="15.75" customHeight="1" spans="1:25">
      <c r="A840" s="36"/>
      <c r="B840" s="15"/>
      <c r="C840" s="38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ht="15.75" customHeight="1" spans="1:25">
      <c r="A841" s="36"/>
      <c r="B841" s="15"/>
      <c r="C841" s="38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ht="15.75" customHeight="1" spans="1:25">
      <c r="A842" s="36"/>
      <c r="B842" s="15"/>
      <c r="C842" s="38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ht="15.75" customHeight="1" spans="1:25">
      <c r="A843" s="36"/>
      <c r="B843" s="15"/>
      <c r="C843" s="38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ht="15.75" customHeight="1" spans="1:25">
      <c r="A844" s="36"/>
      <c r="B844" s="15"/>
      <c r="C844" s="38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ht="15.75" customHeight="1" spans="1:25">
      <c r="A845" s="36"/>
      <c r="B845" s="15"/>
      <c r="C845" s="38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ht="15.75" customHeight="1" spans="1:25">
      <c r="A846" s="36"/>
      <c r="B846" s="15"/>
      <c r="C846" s="38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ht="15.75" customHeight="1" spans="1:25">
      <c r="A847" s="36"/>
      <c r="B847" s="15"/>
      <c r="C847" s="38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ht="15.75" customHeight="1" spans="1:25">
      <c r="A848" s="36"/>
      <c r="B848" s="15"/>
      <c r="C848" s="38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ht="15.75" customHeight="1" spans="1:25">
      <c r="A849" s="36"/>
      <c r="B849" s="15"/>
      <c r="C849" s="38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ht="15.75" customHeight="1" spans="1:25">
      <c r="A850" s="36"/>
      <c r="B850" s="15"/>
      <c r="C850" s="38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ht="15.75" customHeight="1" spans="1:25">
      <c r="A851" s="36"/>
      <c r="B851" s="15"/>
      <c r="C851" s="38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ht="15.75" customHeight="1" spans="1:25">
      <c r="A852" s="36"/>
      <c r="B852" s="15"/>
      <c r="C852" s="38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ht="15.75" customHeight="1" spans="1:25">
      <c r="A853" s="36"/>
      <c r="B853" s="15"/>
      <c r="C853" s="38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ht="15.75" customHeight="1" spans="1:25">
      <c r="A854" s="36"/>
      <c r="B854" s="15"/>
      <c r="C854" s="38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ht="15.75" customHeight="1" spans="1:25">
      <c r="A855" s="36"/>
      <c r="B855" s="15"/>
      <c r="C855" s="38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ht="15.75" customHeight="1" spans="1:25">
      <c r="A856" s="36"/>
      <c r="B856" s="15"/>
      <c r="C856" s="38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ht="15.75" customHeight="1" spans="1:25">
      <c r="A857" s="36"/>
      <c r="B857" s="15"/>
      <c r="C857" s="38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ht="15.75" customHeight="1" spans="1:25">
      <c r="A858" s="36"/>
      <c r="B858" s="15"/>
      <c r="C858" s="38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ht="15.75" customHeight="1" spans="1:25">
      <c r="A859" s="36"/>
      <c r="B859" s="15"/>
      <c r="C859" s="38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ht="15.75" customHeight="1" spans="1:25">
      <c r="A860" s="36"/>
      <c r="B860" s="15"/>
      <c r="C860" s="38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ht="15.75" customHeight="1" spans="1:25">
      <c r="A861" s="36"/>
      <c r="B861" s="15"/>
      <c r="C861" s="38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ht="15.75" customHeight="1" spans="1:25">
      <c r="A862" s="36"/>
      <c r="B862" s="15"/>
      <c r="C862" s="38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ht="15.75" customHeight="1" spans="1:25">
      <c r="A863" s="36"/>
      <c r="B863" s="15"/>
      <c r="C863" s="38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ht="15.75" customHeight="1" spans="1:25">
      <c r="A864" s="36"/>
      <c r="B864" s="15"/>
      <c r="C864" s="38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ht="15.75" customHeight="1" spans="1:25">
      <c r="A865" s="36"/>
      <c r="B865" s="15"/>
      <c r="C865" s="38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ht="15.75" customHeight="1" spans="1:25">
      <c r="A866" s="36"/>
      <c r="B866" s="15"/>
      <c r="C866" s="38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ht="15.75" customHeight="1" spans="1:25">
      <c r="A867" s="36"/>
      <c r="B867" s="15"/>
      <c r="C867" s="38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ht="15.75" customHeight="1" spans="1:25">
      <c r="A868" s="36"/>
      <c r="B868" s="15"/>
      <c r="C868" s="38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ht="15.75" customHeight="1" spans="1:25">
      <c r="A869" s="36"/>
      <c r="B869" s="15"/>
      <c r="C869" s="38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ht="15.75" customHeight="1" spans="1:25">
      <c r="A870" s="36"/>
      <c r="B870" s="15"/>
      <c r="C870" s="38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ht="15.75" customHeight="1" spans="1:25">
      <c r="A871" s="36"/>
      <c r="B871" s="15"/>
      <c r="C871" s="38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ht="15.75" customHeight="1" spans="1:25">
      <c r="A872" s="36"/>
      <c r="B872" s="15"/>
      <c r="C872" s="38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ht="15.75" customHeight="1" spans="1:25">
      <c r="A873" s="36"/>
      <c r="B873" s="15"/>
      <c r="C873" s="38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ht="15.75" customHeight="1" spans="1:25">
      <c r="A874" s="36"/>
      <c r="B874" s="15"/>
      <c r="C874" s="38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ht="15.75" customHeight="1" spans="1:25">
      <c r="A875" s="36"/>
      <c r="B875" s="15"/>
      <c r="C875" s="38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ht="15.75" customHeight="1" spans="1:25">
      <c r="A876" s="36"/>
      <c r="B876" s="15"/>
      <c r="C876" s="38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ht="15.75" customHeight="1" spans="1:25">
      <c r="A877" s="36"/>
      <c r="B877" s="15"/>
      <c r="C877" s="38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ht="15.75" customHeight="1" spans="1:25">
      <c r="A878" s="36"/>
      <c r="B878" s="15"/>
      <c r="C878" s="38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ht="15.75" customHeight="1" spans="1:25">
      <c r="A879" s="36"/>
      <c r="B879" s="15"/>
      <c r="C879" s="38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ht="15.75" customHeight="1" spans="1:25">
      <c r="A880" s="36"/>
      <c r="B880" s="15"/>
      <c r="C880" s="38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ht="15.75" customHeight="1" spans="1:25">
      <c r="A881" s="36"/>
      <c r="B881" s="15"/>
      <c r="C881" s="38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ht="15.75" customHeight="1" spans="1:25">
      <c r="A882" s="36"/>
      <c r="B882" s="15"/>
      <c r="C882" s="38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ht="15.75" customHeight="1" spans="1:25">
      <c r="A883" s="36"/>
      <c r="B883" s="15"/>
      <c r="C883" s="38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ht="15.75" customHeight="1" spans="1:25">
      <c r="A884" s="36"/>
      <c r="B884" s="15"/>
      <c r="C884" s="38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ht="15.75" customHeight="1" spans="1:25">
      <c r="A885" s="36"/>
      <c r="B885" s="15"/>
      <c r="C885" s="38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ht="15.75" customHeight="1" spans="1:25">
      <c r="A886" s="36"/>
      <c r="B886" s="15"/>
      <c r="C886" s="38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ht="15.75" customHeight="1" spans="1:25">
      <c r="A887" s="36"/>
      <c r="B887" s="15"/>
      <c r="C887" s="38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ht="15.75" customHeight="1" spans="1:25">
      <c r="A888" s="36"/>
      <c r="B888" s="15"/>
      <c r="C888" s="38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ht="15.75" customHeight="1" spans="1:25">
      <c r="A889" s="36"/>
      <c r="B889" s="15"/>
      <c r="C889" s="38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ht="15.75" customHeight="1" spans="1:25">
      <c r="A890" s="36"/>
      <c r="B890" s="15"/>
      <c r="C890" s="38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ht="15.75" customHeight="1" spans="1:25">
      <c r="A891" s="36"/>
      <c r="B891" s="15"/>
      <c r="C891" s="38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ht="15.75" customHeight="1" spans="1:25">
      <c r="A892" s="36"/>
      <c r="B892" s="15"/>
      <c r="C892" s="38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ht="15.75" customHeight="1" spans="1:25">
      <c r="A893" s="36"/>
      <c r="B893" s="15"/>
      <c r="C893" s="38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ht="15.75" customHeight="1" spans="1:25">
      <c r="A894" s="36"/>
      <c r="B894" s="15"/>
      <c r="C894" s="38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ht="15.75" customHeight="1" spans="1:25">
      <c r="A895" s="36"/>
      <c r="B895" s="15"/>
      <c r="C895" s="38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ht="15.75" customHeight="1" spans="1:25">
      <c r="A896" s="36"/>
      <c r="B896" s="15"/>
      <c r="C896" s="38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ht="15.75" customHeight="1" spans="1:25">
      <c r="A897" s="36"/>
      <c r="B897" s="15"/>
      <c r="C897" s="38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ht="15.75" customHeight="1" spans="1:25">
      <c r="A898" s="36"/>
      <c r="B898" s="15"/>
      <c r="C898" s="38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ht="15.75" customHeight="1" spans="1:25">
      <c r="A899" s="36"/>
      <c r="B899" s="15"/>
      <c r="C899" s="38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ht="15.75" customHeight="1" spans="1:25">
      <c r="A900" s="36"/>
      <c r="B900" s="15"/>
      <c r="C900" s="38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ht="15.75" customHeight="1" spans="1:25">
      <c r="A901" s="36"/>
      <c r="B901" s="15"/>
      <c r="C901" s="38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ht="15.75" customHeight="1" spans="1:25">
      <c r="A902" s="36"/>
      <c r="B902" s="15"/>
      <c r="C902" s="38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ht="15.75" customHeight="1" spans="1:25">
      <c r="A903" s="36"/>
      <c r="B903" s="15"/>
      <c r="C903" s="38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ht="15.75" customHeight="1" spans="1:25">
      <c r="A904" s="36"/>
      <c r="B904" s="15"/>
      <c r="C904" s="38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ht="15.75" customHeight="1" spans="1:25">
      <c r="A905" s="36"/>
      <c r="B905" s="15"/>
      <c r="C905" s="38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ht="15.75" customHeight="1" spans="1:25">
      <c r="A906" s="36"/>
      <c r="B906" s="15"/>
      <c r="C906" s="38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ht="15.75" customHeight="1" spans="1:25">
      <c r="A907" s="36"/>
      <c r="B907" s="15"/>
      <c r="C907" s="38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ht="15.75" customHeight="1" spans="1:25">
      <c r="A908" s="36"/>
      <c r="B908" s="15"/>
      <c r="C908" s="38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ht="15.75" customHeight="1" spans="1:25">
      <c r="A909" s="36"/>
      <c r="B909" s="15"/>
      <c r="C909" s="38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ht="15.75" customHeight="1" spans="1:25">
      <c r="A910" s="36"/>
      <c r="B910" s="15"/>
      <c r="C910" s="38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ht="15.75" customHeight="1" spans="1:25">
      <c r="A911" s="36"/>
      <c r="B911" s="15"/>
      <c r="C911" s="38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ht="15.75" customHeight="1" spans="1:25">
      <c r="A912" s="36"/>
      <c r="B912" s="15"/>
      <c r="C912" s="38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ht="15.75" customHeight="1" spans="1:25">
      <c r="A913" s="36"/>
      <c r="B913" s="15"/>
      <c r="C913" s="38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ht="15.75" customHeight="1" spans="1:25">
      <c r="A914" s="36"/>
      <c r="B914" s="15"/>
      <c r="C914" s="38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ht="15.75" customHeight="1" spans="1:25">
      <c r="A915" s="36"/>
      <c r="B915" s="15"/>
      <c r="C915" s="38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ht="15.75" customHeight="1" spans="1:25">
      <c r="A916" s="36"/>
      <c r="B916" s="15"/>
      <c r="C916" s="38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ht="15.75" customHeight="1" spans="1:25">
      <c r="A917" s="36"/>
      <c r="B917" s="15"/>
      <c r="C917" s="38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ht="15.75" customHeight="1" spans="1:25">
      <c r="A918" s="36"/>
      <c r="B918" s="15"/>
      <c r="C918" s="38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ht="15.75" customHeight="1" spans="1:25">
      <c r="A919" s="36"/>
      <c r="B919" s="15"/>
      <c r="C919" s="38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ht="15.75" customHeight="1" spans="1:25">
      <c r="A920" s="36"/>
      <c r="B920" s="15"/>
      <c r="C920" s="38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ht="15.75" customHeight="1" spans="1:25">
      <c r="A921" s="36"/>
      <c r="B921" s="15"/>
      <c r="C921" s="38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ht="15.75" customHeight="1" spans="1:25">
      <c r="A922" s="36"/>
      <c r="B922" s="15"/>
      <c r="C922" s="38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ht="15.75" customHeight="1" spans="1:25">
      <c r="A923" s="36"/>
      <c r="B923" s="15"/>
      <c r="C923" s="38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ht="15.75" customHeight="1" spans="1:25">
      <c r="A924" s="36"/>
      <c r="B924" s="15"/>
      <c r="C924" s="38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ht="15.75" customHeight="1" spans="1:25">
      <c r="A925" s="36"/>
      <c r="B925" s="15"/>
      <c r="C925" s="38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ht="15.75" customHeight="1" spans="1:25">
      <c r="A926" s="36"/>
      <c r="B926" s="15"/>
      <c r="C926" s="38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ht="15.75" customHeight="1" spans="1:25">
      <c r="A927" s="36"/>
      <c r="B927" s="15"/>
      <c r="C927" s="38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ht="15.75" customHeight="1" spans="1:25">
      <c r="A928" s="36"/>
      <c r="B928" s="15"/>
      <c r="C928" s="38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ht="15.75" customHeight="1" spans="1:25">
      <c r="A929" s="36"/>
      <c r="B929" s="15"/>
      <c r="C929" s="38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ht="15.75" customHeight="1" spans="1:25">
      <c r="A930" s="36"/>
      <c r="B930" s="15"/>
      <c r="C930" s="38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ht="15.75" customHeight="1" spans="1:25">
      <c r="A931" s="36"/>
      <c r="B931" s="15"/>
      <c r="C931" s="38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ht="15.75" customHeight="1" spans="1:25">
      <c r="A932" s="36"/>
      <c r="B932" s="15"/>
      <c r="C932" s="38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ht="15.75" customHeight="1" spans="1:25">
      <c r="A933" s="36"/>
      <c r="B933" s="15"/>
      <c r="C933" s="38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ht="15.75" customHeight="1" spans="1:25">
      <c r="A934" s="36"/>
      <c r="B934" s="15"/>
      <c r="C934" s="38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ht="15.75" customHeight="1" spans="1:25">
      <c r="A935" s="36"/>
      <c r="B935" s="15"/>
      <c r="C935" s="38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ht="15.75" customHeight="1" spans="1:25">
      <c r="A936" s="36"/>
      <c r="B936" s="15"/>
      <c r="C936" s="38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ht="15.75" customHeight="1" spans="1:25">
      <c r="A937" s="36"/>
      <c r="B937" s="15"/>
      <c r="C937" s="38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ht="15.75" customHeight="1" spans="1:25">
      <c r="A938" s="36"/>
      <c r="B938" s="15"/>
      <c r="C938" s="38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ht="15.75" customHeight="1" spans="1:25">
      <c r="A939" s="36"/>
      <c r="B939" s="15"/>
      <c r="C939" s="38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ht="15.75" customHeight="1" spans="1:25">
      <c r="A940" s="36"/>
      <c r="B940" s="15"/>
      <c r="C940" s="38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ht="15.75" customHeight="1" spans="1:25">
      <c r="A941" s="36"/>
      <c r="B941" s="15"/>
      <c r="C941" s="38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ht="15.75" customHeight="1" spans="1:25">
      <c r="A942" s="36"/>
      <c r="B942" s="15"/>
      <c r="C942" s="38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ht="15.75" customHeight="1" spans="1:25">
      <c r="A943" s="36"/>
      <c r="B943" s="15"/>
      <c r="C943" s="38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ht="15.75" customHeight="1" spans="1:25">
      <c r="A944" s="36"/>
      <c r="B944" s="15"/>
      <c r="C944" s="38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ht="15.75" customHeight="1" spans="1:25">
      <c r="A945" s="36"/>
      <c r="B945" s="15"/>
      <c r="C945" s="38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ht="15.75" customHeight="1" spans="1:25">
      <c r="A946" s="36"/>
      <c r="B946" s="15"/>
      <c r="C946" s="38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 ht="15.75" customHeight="1" spans="1:25">
      <c r="A947" s="36"/>
      <c r="B947" s="15"/>
      <c r="C947" s="38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 ht="15.75" customHeight="1" spans="1:25">
      <c r="A948" s="36"/>
      <c r="B948" s="15"/>
      <c r="C948" s="38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 ht="15.75" customHeight="1" spans="1:25">
      <c r="A949" s="36"/>
      <c r="B949" s="15"/>
      <c r="C949" s="38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ht="15.75" customHeight="1" spans="1:25">
      <c r="A950" s="36"/>
      <c r="B950" s="15"/>
      <c r="C950" s="38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 ht="15.75" customHeight="1" spans="1:25">
      <c r="A951" s="36"/>
      <c r="B951" s="15"/>
      <c r="C951" s="38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 ht="15.75" customHeight="1" spans="1:25">
      <c r="A952" s="36"/>
      <c r="B952" s="15"/>
      <c r="C952" s="38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 ht="15.75" customHeight="1" spans="1:25">
      <c r="A953" s="36"/>
      <c r="B953" s="15"/>
      <c r="C953" s="38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 ht="15.75" customHeight="1" spans="1:25">
      <c r="A954" s="36"/>
      <c r="B954" s="15"/>
      <c r="C954" s="38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ht="15.75" customHeight="1" spans="1:25">
      <c r="A955" s="36"/>
      <c r="B955" s="15"/>
      <c r="C955" s="38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 ht="15.75" customHeight="1" spans="1:25">
      <c r="A956" s="36"/>
      <c r="B956" s="15"/>
      <c r="C956" s="38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 ht="15.75" customHeight="1" spans="1:25">
      <c r="A957" s="36"/>
      <c r="B957" s="15"/>
      <c r="C957" s="38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 ht="15.75" customHeight="1" spans="1:25">
      <c r="A958" s="36"/>
      <c r="B958" s="15"/>
      <c r="C958" s="38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 ht="15.75" customHeight="1" spans="1:25">
      <c r="A959" s="36"/>
      <c r="B959" s="15"/>
      <c r="C959" s="38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 ht="15.75" customHeight="1" spans="1:25">
      <c r="A960" s="36"/>
      <c r="B960" s="15"/>
      <c r="C960" s="38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 ht="15.75" customHeight="1" spans="1:25">
      <c r="A961" s="36"/>
      <c r="B961" s="15"/>
      <c r="C961" s="38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 ht="15.75" customHeight="1" spans="1:25">
      <c r="A962" s="36"/>
      <c r="B962" s="15"/>
      <c r="C962" s="38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 ht="15.75" customHeight="1" spans="1:25">
      <c r="A963" s="36"/>
      <c r="B963" s="15"/>
      <c r="C963" s="38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 ht="15.75" customHeight="1" spans="1:25">
      <c r="A964" s="36"/>
      <c r="B964" s="15"/>
      <c r="C964" s="38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ht="15.75" customHeight="1" spans="1:25">
      <c r="A965" s="36"/>
      <c r="B965" s="15"/>
      <c r="C965" s="38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 ht="15.75" customHeight="1" spans="1:25">
      <c r="A966" s="36"/>
      <c r="B966" s="15"/>
      <c r="C966" s="38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 ht="15.75" customHeight="1" spans="1:25">
      <c r="A967" s="36"/>
      <c r="B967" s="15"/>
      <c r="C967" s="38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 ht="15.75" customHeight="1" spans="1:25">
      <c r="A968" s="36"/>
      <c r="B968" s="15"/>
      <c r="C968" s="38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ht="15.75" customHeight="1" spans="1:25">
      <c r="A969" s="36"/>
      <c r="B969" s="15"/>
      <c r="C969" s="38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 ht="15.75" customHeight="1" spans="1:25">
      <c r="A970" s="36"/>
      <c r="B970" s="15"/>
      <c r="C970" s="38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 ht="15.75" customHeight="1" spans="1:25">
      <c r="A971" s="36"/>
      <c r="B971" s="15"/>
      <c r="C971" s="38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 ht="15.75" customHeight="1" spans="1:25">
      <c r="A972" s="36"/>
      <c r="B972" s="15"/>
      <c r="C972" s="38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ht="15.75" customHeight="1" spans="1:25">
      <c r="A973" s="36"/>
      <c r="B973" s="15"/>
      <c r="C973" s="38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 ht="15.75" customHeight="1" spans="1:25">
      <c r="A974" s="36"/>
      <c r="B974" s="15"/>
      <c r="C974" s="38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 ht="15.75" customHeight="1" spans="1:25">
      <c r="A975" s="36"/>
      <c r="B975" s="15"/>
      <c r="C975" s="38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ht="15.75" customHeight="1" spans="1:25">
      <c r="A976" s="36"/>
      <c r="B976" s="15"/>
      <c r="C976" s="38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ht="15.75" customHeight="1" spans="1:25">
      <c r="A977" s="36"/>
      <c r="B977" s="15"/>
      <c r="C977" s="38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 ht="15.75" customHeight="1" spans="1:25">
      <c r="A978" s="36"/>
      <c r="B978" s="15"/>
      <c r="C978" s="38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 ht="15.75" customHeight="1" spans="1:25">
      <c r="A979" s="36"/>
      <c r="B979" s="15"/>
      <c r="C979" s="38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 ht="15.75" customHeight="1" spans="1:25">
      <c r="A980" s="36"/>
      <c r="B980" s="15"/>
      <c r="C980" s="38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 ht="15.75" customHeight="1" spans="1:25">
      <c r="A981" s="36"/>
      <c r="B981" s="15"/>
      <c r="C981" s="38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ht="15.75" customHeight="1" spans="1:25">
      <c r="A982" s="36"/>
      <c r="B982" s="15"/>
      <c r="C982" s="38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 ht="15.75" customHeight="1" spans="1:25">
      <c r="A983" s="36"/>
      <c r="B983" s="15"/>
      <c r="C983" s="38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 ht="15.75" customHeight="1" spans="1:25">
      <c r="A984" s="36"/>
      <c r="B984" s="15"/>
      <c r="C984" s="38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 ht="15.75" customHeight="1" spans="1:25">
      <c r="A985" s="36"/>
      <c r="B985" s="15"/>
      <c r="C985" s="38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ht="15.75" customHeight="1" spans="1:25">
      <c r="A986" s="36"/>
      <c r="B986" s="15"/>
      <c r="C986" s="38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 ht="15.75" customHeight="1" spans="1:25">
      <c r="A987" s="36"/>
      <c r="B987" s="15"/>
      <c r="C987" s="38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  <row r="988" ht="15.75" customHeight="1" spans="1:25">
      <c r="A988" s="36"/>
      <c r="B988" s="15"/>
      <c r="C988" s="38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</row>
    <row r="989" ht="15.75" customHeight="1" spans="1:25">
      <c r="A989" s="36"/>
      <c r="B989" s="15"/>
      <c r="C989" s="38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 ht="15.75" customHeight="1" spans="1:25">
      <c r="A990" s="36"/>
      <c r="B990" s="15"/>
      <c r="C990" s="38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</row>
    <row r="991" ht="15.75" customHeight="1" spans="1:25">
      <c r="A991" s="36"/>
      <c r="B991" s="15"/>
      <c r="C991" s="38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</row>
    <row r="992" ht="15.75" customHeight="1" spans="1:25">
      <c r="A992" s="36"/>
      <c r="B992" s="15"/>
      <c r="C992" s="38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</row>
    <row r="993" ht="15.75" customHeight="1" spans="1:25">
      <c r="A993" s="36"/>
      <c r="B993" s="15"/>
      <c r="C993" s="38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</row>
    <row r="994" ht="15.75" customHeight="1" spans="1:25">
      <c r="A994" s="36"/>
      <c r="B994" s="15"/>
      <c r="C994" s="38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</row>
    <row r="995" ht="15.75" customHeight="1" spans="1:25">
      <c r="A995" s="36"/>
      <c r="B995" s="15"/>
      <c r="C995" s="38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</row>
    <row r="996" ht="15.75" customHeight="1" spans="1:25">
      <c r="A996" s="36"/>
      <c r="B996" s="15"/>
      <c r="C996" s="38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  <row r="997" ht="15.75" customHeight="1" spans="1:25">
      <c r="A997" s="36"/>
      <c r="B997" s="15"/>
      <c r="C997" s="38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</row>
    <row r="998" ht="15.75" customHeight="1" spans="1:25">
      <c r="A998" s="36"/>
      <c r="B998" s="15"/>
      <c r="C998" s="38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</row>
    <row r="999" ht="15.75" customHeight="1" spans="1:25">
      <c r="A999" s="36"/>
      <c r="B999" s="15"/>
      <c r="C999" s="38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</row>
    <row r="1000" ht="15.75" customHeight="1" spans="1:25">
      <c r="A1000" s="36"/>
      <c r="B1000" s="15"/>
      <c r="C1000" s="38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</row>
    <row r="1001" ht="15.75" customHeight="1" spans="1:25">
      <c r="A1001" s="36"/>
      <c r="B1001" s="15"/>
      <c r="C1001" s="38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</row>
    <row r="1002" ht="15.75" customHeight="1" spans="1:25">
      <c r="A1002" s="36"/>
      <c r="B1002" s="15"/>
      <c r="C1002" s="38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</row>
    <row r="1003" ht="15.75" customHeight="1" spans="1:25">
      <c r="A1003" s="36"/>
      <c r="B1003" s="15"/>
      <c r="C1003" s="38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</row>
    <row r="1004" ht="15.75" customHeight="1" spans="1:25">
      <c r="A1004" s="36"/>
      <c r="B1004" s="15"/>
      <c r="C1004" s="38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</row>
    <row r="1005" ht="15.75" customHeight="1" spans="1:25">
      <c r="A1005" s="36"/>
      <c r="B1005" s="15"/>
      <c r="C1005" s="38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</row>
    <row r="1006" ht="15.75" customHeight="1" spans="1:25">
      <c r="A1006" s="36"/>
      <c r="B1006" s="15"/>
      <c r="C1006" s="38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</row>
    <row r="1007" ht="15.75" customHeight="1" spans="1:25">
      <c r="A1007" s="36"/>
      <c r="B1007" s="15"/>
      <c r="C1007" s="38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</row>
    <row r="1008" ht="15.75" customHeight="1" spans="1:25">
      <c r="A1008" s="36"/>
      <c r="B1008" s="15"/>
      <c r="C1008" s="38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</row>
    <row r="1009" ht="15.75" customHeight="1" spans="1:25">
      <c r="A1009" s="36"/>
      <c r="B1009" s="15"/>
      <c r="C1009" s="38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</row>
    <row r="1010" ht="15.75" customHeight="1" spans="1:25">
      <c r="A1010" s="36"/>
      <c r="B1010" s="15"/>
      <c r="C1010" s="38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</row>
    <row r="1011" ht="15.75" customHeight="1" spans="1:25">
      <c r="A1011" s="36"/>
      <c r="B1011" s="15"/>
      <c r="C1011" s="38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</row>
    <row r="1012" ht="15.75" customHeight="1" spans="1:25">
      <c r="A1012" s="36"/>
      <c r="B1012" s="15"/>
      <c r="C1012" s="38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</row>
    <row r="1013" ht="15.75" customHeight="1" spans="1:25">
      <c r="A1013" s="36"/>
      <c r="B1013" s="15"/>
      <c r="C1013" s="38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</row>
    <row r="1014" ht="15.75" customHeight="1" spans="1:25">
      <c r="A1014" s="36"/>
      <c r="B1014" s="15"/>
      <c r="C1014" s="38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</row>
    <row r="1015" ht="15.75" customHeight="1" spans="1:25">
      <c r="A1015" s="36"/>
      <c r="B1015" s="15"/>
      <c r="C1015" s="38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</row>
    <row r="1016" ht="15.75" customHeight="1" spans="1:25">
      <c r="A1016" s="36"/>
      <c r="B1016" s="15"/>
      <c r="C1016" s="38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</row>
    <row r="1017" ht="15.75" customHeight="1" spans="1:25">
      <c r="A1017" s="36"/>
      <c r="B1017" s="15"/>
      <c r="C1017" s="38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</row>
    <row r="1018" ht="15.75" customHeight="1" spans="1:25">
      <c r="A1018" s="36"/>
      <c r="B1018" s="15"/>
      <c r="C1018" s="38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</row>
    <row r="1019" ht="15.75" customHeight="1" spans="1:25">
      <c r="A1019" s="36"/>
      <c r="B1019" s="15"/>
      <c r="C1019" s="38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</row>
    <row r="1020" ht="15.75" customHeight="1" spans="1:25">
      <c r="A1020" s="36"/>
      <c r="B1020" s="15"/>
      <c r="C1020" s="38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</row>
    <row r="1021" ht="15.75" customHeight="1" spans="1:25">
      <c r="A1021" s="36"/>
      <c r="B1021" s="15"/>
      <c r="C1021" s="38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</row>
    <row r="1022" ht="15.75" customHeight="1" spans="1:25">
      <c r="A1022" s="36"/>
      <c r="B1022" s="15"/>
      <c r="C1022" s="38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</row>
    <row r="1023" ht="15.75" customHeight="1" spans="1:25">
      <c r="A1023" s="36"/>
      <c r="B1023" s="15"/>
      <c r="C1023" s="38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</row>
    <row r="1024" ht="15.75" customHeight="1" spans="1:25">
      <c r="A1024" s="36"/>
      <c r="B1024" s="15"/>
      <c r="C1024" s="38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</row>
    <row r="1025" ht="15.75" customHeight="1" spans="1:25">
      <c r="A1025" s="36"/>
      <c r="B1025" s="15"/>
      <c r="C1025" s="38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</row>
    <row r="1026" ht="15.75" customHeight="1" spans="1:25">
      <c r="A1026" s="36"/>
      <c r="B1026" s="15"/>
      <c r="C1026" s="38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</row>
    <row r="1027" ht="15.75" customHeight="1" spans="1:25">
      <c r="A1027" s="36"/>
      <c r="B1027" s="15"/>
      <c r="C1027" s="38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</row>
    <row r="1028" ht="15.75" customHeight="1" spans="1:25">
      <c r="A1028" s="36"/>
      <c r="B1028" s="15"/>
      <c r="C1028" s="38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</row>
    <row r="1029" ht="15.75" customHeight="1" spans="1:25">
      <c r="A1029" s="36"/>
      <c r="B1029" s="15"/>
      <c r="C1029" s="38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</row>
    <row r="1030" ht="15.75" customHeight="1" spans="1:25">
      <c r="A1030" s="36"/>
      <c r="B1030" s="15"/>
      <c r="C1030" s="38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</row>
    <row r="1031" ht="15.75" customHeight="1" spans="1:25">
      <c r="A1031" s="36"/>
      <c r="B1031" s="15"/>
      <c r="C1031" s="38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</row>
    <row r="1032" ht="15.75" customHeight="1" spans="1:25">
      <c r="A1032" s="36"/>
      <c r="B1032" s="15"/>
      <c r="C1032" s="38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</row>
    <row r="1033" ht="15.75" customHeight="1" spans="1:25">
      <c r="A1033" s="36"/>
      <c r="B1033" s="15"/>
      <c r="C1033" s="38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</row>
    <row r="1034" ht="15.75" customHeight="1" spans="1:25">
      <c r="A1034" s="36"/>
      <c r="B1034" s="15"/>
      <c r="C1034" s="38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</row>
    <row r="1035" ht="15.75" customHeight="1" spans="1:25">
      <c r="A1035" s="36"/>
      <c r="B1035" s="15"/>
      <c r="C1035" s="38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</row>
    <row r="1036" ht="15.75" customHeight="1" spans="1:25">
      <c r="A1036" s="36"/>
      <c r="B1036" s="15"/>
      <c r="C1036" s="38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</row>
    <row r="1037" ht="15.75" customHeight="1" spans="1:25">
      <c r="A1037" s="36"/>
      <c r="B1037" s="15"/>
      <c r="C1037" s="38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</row>
    <row r="1038" ht="15.75" customHeight="1" spans="1:25">
      <c r="A1038" s="36"/>
      <c r="B1038" s="15"/>
      <c r="C1038" s="38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</row>
    <row r="1039" ht="15.75" customHeight="1" spans="1:25">
      <c r="A1039" s="36"/>
      <c r="B1039" s="15"/>
      <c r="C1039" s="38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</row>
    <row r="1040" ht="15.75" customHeight="1" spans="1:25">
      <c r="A1040" s="36"/>
      <c r="B1040" s="15"/>
      <c r="C1040" s="38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</row>
    <row r="1041" ht="15.75" customHeight="1" spans="1:25">
      <c r="A1041" s="36"/>
      <c r="B1041" s="15"/>
      <c r="C1041" s="38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</row>
    <row r="1042" ht="15.75" customHeight="1" spans="1:25">
      <c r="A1042" s="36"/>
      <c r="B1042" s="15"/>
      <c r="C1042" s="38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</row>
    <row r="1043" ht="15.75" customHeight="1" spans="1:25">
      <c r="A1043" s="36"/>
      <c r="B1043" s="15"/>
      <c r="C1043" s="38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</row>
    <row r="1044" ht="15.75" customHeight="1" spans="1:25">
      <c r="A1044" s="36"/>
      <c r="B1044" s="15"/>
      <c r="C1044" s="38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</row>
    <row r="1045" ht="15.75" customHeight="1" spans="1:25">
      <c r="A1045" s="36"/>
      <c r="B1045" s="15"/>
      <c r="C1045" s="38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</row>
    <row r="1046" ht="15.75" customHeight="1" spans="1:25">
      <c r="A1046" s="36"/>
      <c r="B1046" s="15"/>
      <c r="C1046" s="38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</row>
    <row r="1047" ht="15.75" customHeight="1" spans="1:25">
      <c r="A1047" s="36"/>
      <c r="B1047" s="15"/>
      <c r="C1047" s="38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</row>
    <row r="1048" ht="15.75" customHeight="1" spans="1:25">
      <c r="A1048" s="36"/>
      <c r="B1048" s="15"/>
      <c r="C1048" s="38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</row>
    <row r="1049" ht="15.75" customHeight="1" spans="1:25">
      <c r="A1049" s="36"/>
      <c r="B1049" s="15"/>
      <c r="C1049" s="38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</row>
    <row r="1050" ht="15.75" customHeight="1" spans="1:25">
      <c r="A1050" s="36"/>
      <c r="B1050" s="15"/>
      <c r="C1050" s="38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</row>
    <row r="1051" ht="15.75" customHeight="1" spans="1:25">
      <c r="A1051" s="36"/>
      <c r="B1051" s="15"/>
      <c r="C1051" s="38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</row>
    <row r="1052" ht="15.75" customHeight="1" spans="1:25">
      <c r="A1052" s="36"/>
      <c r="B1052" s="15"/>
      <c r="C1052" s="38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</row>
    <row r="1053" ht="15.75" customHeight="1" spans="1:25">
      <c r="A1053" s="36"/>
      <c r="B1053" s="15"/>
      <c r="C1053" s="38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ht="15.75" customHeight="1" spans="1:25">
      <c r="A1054" s="36"/>
      <c r="B1054" s="15"/>
      <c r="C1054" s="38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</row>
    <row r="1055" ht="15.75" customHeight="1" spans="1:25">
      <c r="A1055" s="36"/>
      <c r="B1055" s="15"/>
      <c r="C1055" s="38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</row>
    <row r="1056" ht="15.75" customHeight="1" spans="1:25">
      <c r="A1056" s="36"/>
      <c r="B1056" s="15"/>
      <c r="C1056" s="38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</row>
    <row r="1057" ht="15.75" customHeight="1" spans="1:25">
      <c r="A1057" s="36"/>
      <c r="B1057" s="15"/>
      <c r="C1057" s="38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</row>
    <row r="1058" ht="15.75" customHeight="1" spans="1:25">
      <c r="A1058" s="36"/>
      <c r="B1058" s="15"/>
      <c r="C1058" s="38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</row>
    <row r="1059" ht="15.75" customHeight="1" spans="1:25">
      <c r="A1059" s="36"/>
      <c r="B1059" s="15"/>
      <c r="C1059" s="38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</row>
    <row r="1060" ht="15.75" customHeight="1" spans="1:25">
      <c r="A1060" s="36"/>
      <c r="B1060" s="15"/>
      <c r="C1060" s="38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</row>
    <row r="1061" ht="15.75" customHeight="1" spans="1:25">
      <c r="A1061" s="36"/>
      <c r="B1061" s="15"/>
      <c r="C1061" s="38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</row>
    <row r="1062" ht="15.75" customHeight="1" spans="1:25">
      <c r="A1062" s="36"/>
      <c r="B1062" s="15"/>
      <c r="C1062" s="38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ht="15.75" customHeight="1" spans="1:25">
      <c r="A1063" s="36"/>
      <c r="B1063" s="15"/>
      <c r="C1063" s="38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</row>
    <row r="1064" ht="15.75" customHeight="1" spans="1:25">
      <c r="A1064" s="36"/>
      <c r="B1064" s="15"/>
      <c r="C1064" s="38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</row>
    <row r="1065" ht="15.75" customHeight="1" spans="1:25">
      <c r="A1065" s="36"/>
      <c r="B1065" s="15"/>
      <c r="C1065" s="38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</row>
    <row r="1066" ht="15.75" customHeight="1" spans="1:25">
      <c r="A1066" s="36"/>
      <c r="B1066" s="15"/>
      <c r="C1066" s="38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</row>
    <row r="1067" ht="15.75" customHeight="1" spans="1:25">
      <c r="A1067" s="36"/>
      <c r="B1067" s="15"/>
      <c r="C1067" s="38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</row>
    <row r="1068" ht="15.75" customHeight="1" spans="1:25">
      <c r="A1068" s="36"/>
      <c r="B1068" s="15"/>
      <c r="C1068" s="38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</row>
    <row r="1069" ht="15.75" customHeight="1" spans="1:25">
      <c r="A1069" s="36"/>
      <c r="B1069" s="15"/>
      <c r="C1069" s="38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</row>
    <row r="1070" ht="15.75" customHeight="1" spans="1:25">
      <c r="A1070" s="36"/>
      <c r="B1070" s="15"/>
      <c r="C1070" s="38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</row>
    <row r="1071" ht="15.75" customHeight="1" spans="1:25">
      <c r="A1071" s="36"/>
      <c r="B1071" s="15"/>
      <c r="C1071" s="38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</row>
    <row r="1072" ht="15.75" customHeight="1" spans="1:25">
      <c r="A1072" s="36"/>
      <c r="B1072" s="15"/>
      <c r="C1072" s="38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</row>
    <row r="1073" ht="15.75" customHeight="1" spans="1:25">
      <c r="A1073" s="36"/>
      <c r="B1073" s="15"/>
      <c r="C1073" s="38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</row>
    <row r="1074" ht="15.75" customHeight="1" spans="1:25">
      <c r="A1074" s="36"/>
      <c r="B1074" s="15"/>
      <c r="C1074" s="38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</row>
    <row r="1075" ht="15.75" customHeight="1" spans="1:25">
      <c r="A1075" s="36"/>
      <c r="B1075" s="15"/>
      <c r="C1075" s="38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</row>
    <row r="1076" ht="15.75" customHeight="1" spans="1:25">
      <c r="A1076" s="36"/>
      <c r="B1076" s="15"/>
      <c r="C1076" s="38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</row>
    <row r="1077" ht="15.75" customHeight="1" spans="1:25">
      <c r="A1077" s="36"/>
      <c r="B1077" s="15"/>
      <c r="C1077" s="38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</row>
    <row r="1078" ht="15.75" customHeight="1" spans="1:25">
      <c r="A1078" s="36"/>
      <c r="B1078" s="15"/>
      <c r="C1078" s="38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</row>
    <row r="1079" ht="15.75" customHeight="1" spans="1:25">
      <c r="A1079" s="36"/>
      <c r="B1079" s="15"/>
      <c r="C1079" s="38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</row>
    <row r="1080" ht="15.75" customHeight="1" spans="1:25">
      <c r="A1080" s="36"/>
      <c r="B1080" s="15"/>
      <c r="C1080" s="38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</row>
    <row r="1081" ht="15.75" customHeight="1" spans="1:25">
      <c r="A1081" s="36"/>
      <c r="B1081" s="15"/>
      <c r="C1081" s="38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</row>
    <row r="1082" ht="15.75" customHeight="1" spans="1:25">
      <c r="A1082" s="36"/>
      <c r="B1082" s="15"/>
      <c r="C1082" s="38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</row>
    <row r="1083" ht="15.75" customHeight="1" spans="1:25">
      <c r="A1083" s="36"/>
      <c r="B1083" s="15"/>
      <c r="C1083" s="38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</row>
    <row r="1084" ht="15.75" customHeight="1" spans="1:25">
      <c r="A1084" s="36"/>
      <c r="B1084" s="15"/>
      <c r="C1084" s="38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</row>
    <row r="1085" ht="15.75" customHeight="1" spans="1:25">
      <c r="A1085" s="36"/>
      <c r="B1085" s="15"/>
      <c r="C1085" s="38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</row>
    <row r="1086" ht="15.75" customHeight="1" spans="1:25">
      <c r="A1086" s="36"/>
      <c r="B1086" s="15"/>
      <c r="C1086" s="38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</row>
    <row r="1087" ht="15.75" customHeight="1" spans="1:25">
      <c r="A1087" s="36"/>
      <c r="B1087" s="15"/>
      <c r="C1087" s="38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</row>
    <row r="1088" ht="15.75" customHeight="1" spans="1:25">
      <c r="A1088" s="36"/>
      <c r="B1088" s="15"/>
      <c r="C1088" s="38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</row>
    <row r="1089" ht="15.75" customHeight="1" spans="1:25">
      <c r="A1089" s="36"/>
      <c r="B1089" s="15"/>
      <c r="C1089" s="38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</row>
    <row r="1090" ht="15.75" customHeight="1" spans="1:25">
      <c r="A1090" s="36"/>
      <c r="B1090" s="15"/>
      <c r="C1090" s="38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</row>
    <row r="1091" ht="15.75" customHeight="1" spans="1:25">
      <c r="A1091" s="36"/>
      <c r="B1091" s="15"/>
      <c r="C1091" s="38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</row>
    <row r="1092" ht="15.75" customHeight="1" spans="1:25">
      <c r="A1092" s="36"/>
      <c r="B1092" s="15"/>
      <c r="C1092" s="38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</row>
    <row r="1093" ht="15.75" customHeight="1" spans="1:25">
      <c r="A1093" s="36"/>
      <c r="B1093" s="15"/>
      <c r="C1093" s="38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</row>
    <row r="1094" ht="15.75" customHeight="1" spans="1:25">
      <c r="A1094" s="36"/>
      <c r="B1094" s="15"/>
      <c r="C1094" s="38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</row>
    <row r="1095" ht="15.75" customHeight="1" spans="1:25">
      <c r="A1095" s="36"/>
      <c r="B1095" s="15"/>
      <c r="C1095" s="38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</row>
    <row r="1096" ht="15.75" customHeight="1" spans="1:25">
      <c r="A1096" s="36"/>
      <c r="B1096" s="15"/>
      <c r="C1096" s="38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</row>
    <row r="1097" ht="15.75" customHeight="1" spans="1:25">
      <c r="A1097" s="36"/>
      <c r="B1097" s="15"/>
      <c r="C1097" s="38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</row>
    <row r="1098" ht="15.75" customHeight="1" spans="1:25">
      <c r="A1098" s="36"/>
      <c r="B1098" s="15"/>
      <c r="C1098" s="38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</row>
    <row r="1099" ht="15.75" customHeight="1" spans="1:25">
      <c r="A1099" s="36"/>
      <c r="B1099" s="15"/>
      <c r="C1099" s="38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</row>
    <row r="1100" ht="15.75" customHeight="1" spans="1:25">
      <c r="A1100" s="36"/>
      <c r="B1100" s="15"/>
      <c r="C1100" s="38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</row>
    <row r="1101" ht="15.75" customHeight="1" spans="1:25">
      <c r="A1101" s="36"/>
      <c r="B1101" s="15"/>
      <c r="C1101" s="38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</row>
    <row r="1102" ht="15.75" customHeight="1" spans="1:25">
      <c r="A1102" s="36"/>
      <c r="B1102" s="15"/>
      <c r="C1102" s="38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</row>
    <row r="1103" ht="15.75" customHeight="1" spans="1:25">
      <c r="A1103" s="36"/>
      <c r="B1103" s="15"/>
      <c r="C1103" s="38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</row>
    <row r="1104" ht="15.75" customHeight="1" spans="1:25">
      <c r="A1104" s="36"/>
      <c r="B1104" s="15"/>
      <c r="C1104" s="38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</row>
    <row r="1105" ht="15.75" customHeight="1" spans="1:25">
      <c r="A1105" s="36"/>
      <c r="B1105" s="15"/>
      <c r="C1105" s="38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</row>
    <row r="1106" ht="15.75" customHeight="1" spans="1:25">
      <c r="A1106" s="36"/>
      <c r="B1106" s="15"/>
      <c r="C1106" s="38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</row>
    <row r="1107" ht="15.75" customHeight="1" spans="1:25">
      <c r="A1107" s="36"/>
      <c r="B1107" s="15"/>
      <c r="C1107" s="38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</row>
    <row r="1108" ht="15.75" customHeight="1" spans="1:25">
      <c r="A1108" s="36"/>
      <c r="B1108" s="15"/>
      <c r="C1108" s="38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</row>
    <row r="1109" ht="15.75" customHeight="1" spans="1:25">
      <c r="A1109" s="36"/>
      <c r="B1109" s="15"/>
      <c r="C1109" s="38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</row>
    <row r="1110" ht="15.75" customHeight="1" spans="1:25">
      <c r="A1110" s="36"/>
      <c r="B1110" s="15"/>
      <c r="C1110" s="38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</row>
    <row r="1111" ht="15.75" customHeight="1" spans="1:25">
      <c r="A1111" s="36"/>
      <c r="B1111" s="15"/>
      <c r="C1111" s="38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</row>
    <row r="1112" ht="15.75" customHeight="1" spans="1:25">
      <c r="A1112" s="36"/>
      <c r="B1112" s="15"/>
      <c r="C1112" s="38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</row>
    <row r="1113" ht="15.75" customHeight="1" spans="1:25">
      <c r="A1113" s="36"/>
      <c r="B1113" s="15"/>
      <c r="C1113" s="38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</row>
    <row r="1114" ht="15.75" customHeight="1" spans="1:25">
      <c r="A1114" s="36"/>
      <c r="B1114" s="15"/>
      <c r="C1114" s="38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</row>
    <row r="1115" ht="15.75" customHeight="1" spans="1:25">
      <c r="A1115" s="36"/>
      <c r="B1115" s="15"/>
      <c r="C1115" s="38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</row>
    <row r="1116" ht="15.75" customHeight="1" spans="1:25">
      <c r="A1116" s="36"/>
      <c r="B1116" s="15"/>
      <c r="C1116" s="38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</row>
    <row r="1117" ht="15.75" customHeight="1" spans="1:25">
      <c r="A1117" s="36"/>
      <c r="B1117" s="15"/>
      <c r="C1117" s="38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</row>
    <row r="1118" ht="15.75" customHeight="1" spans="1:25">
      <c r="A1118" s="36"/>
      <c r="B1118" s="15"/>
      <c r="C1118" s="38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</row>
    <row r="1119" ht="15.75" customHeight="1" spans="1:25">
      <c r="A1119" s="36"/>
      <c r="B1119" s="15"/>
      <c r="C1119" s="38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</row>
    <row r="1120" ht="15.75" customHeight="1" spans="1:25">
      <c r="A1120" s="36"/>
      <c r="B1120" s="15"/>
      <c r="C1120" s="38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</row>
    <row r="1121" ht="15.75" customHeight="1" spans="1:25">
      <c r="A1121" s="36"/>
      <c r="B1121" s="15"/>
      <c r="C1121" s="38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</row>
    <row r="1122" ht="15.75" customHeight="1" spans="1:25">
      <c r="A1122" s="36"/>
      <c r="B1122" s="15"/>
      <c r="C1122" s="38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</row>
    <row r="1123" ht="15.75" customHeight="1" spans="1:25">
      <c r="A1123" s="36"/>
      <c r="B1123" s="15"/>
      <c r="C1123" s="38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</row>
    <row r="1124" ht="15.75" customHeight="1" spans="1:25">
      <c r="A1124" s="36"/>
      <c r="B1124" s="15"/>
      <c r="C1124" s="38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</row>
    <row r="1125" ht="15.75" customHeight="1" spans="1:25">
      <c r="A1125" s="36"/>
      <c r="B1125" s="15"/>
      <c r="C1125" s="38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</row>
    <row r="1126" ht="15.75" customHeight="1" spans="1:25">
      <c r="A1126" s="36"/>
      <c r="B1126" s="15"/>
      <c r="C1126" s="38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</row>
    <row r="1127" ht="15.75" customHeight="1" spans="1:25">
      <c r="A1127" s="36"/>
      <c r="B1127" s="15"/>
      <c r="C1127" s="38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</row>
    <row r="1128" ht="15.75" customHeight="1" spans="1:25">
      <c r="A1128" s="36"/>
      <c r="B1128" s="15"/>
      <c r="C1128" s="38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</row>
    <row r="1129" ht="15.75" customHeight="1" spans="1:25">
      <c r="A1129" s="36"/>
      <c r="B1129" s="15"/>
      <c r="C1129" s="38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</row>
    <row r="1130" ht="15.75" customHeight="1" spans="1:25">
      <c r="A1130" s="36"/>
      <c r="B1130" s="15"/>
      <c r="C1130" s="38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</row>
    <row r="1131" ht="15.75" customHeight="1" spans="1:25">
      <c r="A1131" s="36"/>
      <c r="B1131" s="15"/>
      <c r="C1131" s="38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</row>
    <row r="1132" ht="15.75" customHeight="1" spans="1:25">
      <c r="A1132" s="36"/>
      <c r="B1132" s="15"/>
      <c r="C1132" s="38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</row>
    <row r="1133" ht="15.75" customHeight="1" spans="1:25">
      <c r="A1133" s="36"/>
      <c r="B1133" s="15"/>
      <c r="C1133" s="38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</row>
    <row r="1134" ht="15.75" customHeight="1" spans="1:25">
      <c r="A1134" s="36"/>
      <c r="B1134" s="15"/>
      <c r="C1134" s="38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</row>
    <row r="1135" ht="15.75" customHeight="1" spans="1:25">
      <c r="A1135" s="36"/>
      <c r="B1135" s="15"/>
      <c r="C1135" s="38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</row>
    <row r="1136" ht="15.75" customHeight="1" spans="1:25">
      <c r="A1136" s="36"/>
      <c r="B1136" s="15"/>
      <c r="C1136" s="38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</row>
    <row r="1137" ht="15.75" customHeight="1" spans="1:25">
      <c r="A1137" s="36"/>
      <c r="B1137" s="15"/>
      <c r="C1137" s="38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</row>
    <row r="1138" ht="15.75" customHeight="1"/>
    <row r="1139" ht="15.75" customHeight="1"/>
  </sheetData>
  <mergeCells count="16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D4:D7"/>
    <mergeCell ref="Q5:Q6"/>
    <mergeCell ref="B4:C7"/>
    <mergeCell ref="B8:C10"/>
    <mergeCell ref="B11:C13"/>
    <mergeCell ref="B14:C16"/>
    <mergeCell ref="B17:C19"/>
  </mergeCells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Y1074"/>
  <sheetViews>
    <sheetView workbookViewId="0">
      <selection activeCell="O29" sqref="O29"/>
    </sheetView>
  </sheetViews>
  <sheetFormatPr defaultColWidth="14.43" defaultRowHeight="15" customHeight="1"/>
  <cols>
    <col min="1" max="1" width="13" customWidth="1"/>
    <col min="2" max="2" width="24.43" customWidth="1"/>
    <col min="3" max="3" width="9.29" customWidth="1"/>
    <col min="4" max="4" width="42.58" customWidth="1"/>
    <col min="5" max="5" width="15.86" customWidth="1"/>
    <col min="6" max="6" width="16" customWidth="1"/>
    <col min="7" max="7" width="13.29" customWidth="1"/>
    <col min="8" max="8" width="57.71" customWidth="1"/>
    <col min="9" max="9" width="6.43" customWidth="1"/>
    <col min="10" max="10" width="11.71" customWidth="1"/>
    <col min="11" max="11" width="6.57" customWidth="1"/>
    <col min="12" max="12" width="10.58" customWidth="1"/>
    <col min="13" max="13" width="7.14" customWidth="1"/>
    <col min="14" max="14" width="9.58" customWidth="1"/>
    <col min="15" max="15" width="4.57" customWidth="1"/>
    <col min="16" max="16" width="9.86" customWidth="1"/>
    <col min="18" max="24" width="14.43" hidden="1"/>
  </cols>
  <sheetData>
    <row r="1" ht="14.5" spans="1:25">
      <c r="A1" s="41"/>
      <c r="B1" s="42"/>
      <c r="C1" s="42"/>
      <c r="D1" s="42"/>
      <c r="E1" s="42"/>
      <c r="F1" s="42"/>
      <c r="G1" s="42"/>
      <c r="H1" s="42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16"/>
    </row>
    <row r="2" customHeight="1" spans="1:25">
      <c r="A2" s="44"/>
      <c r="B2" s="45" t="s">
        <v>1362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3"/>
      <c r="S2" s="43"/>
      <c r="T2" s="43"/>
      <c r="U2" s="43"/>
      <c r="V2" s="43"/>
      <c r="W2" s="43"/>
      <c r="X2" s="43"/>
      <c r="Y2" s="16"/>
    </row>
    <row r="3" ht="14.5" spans="1:25">
      <c r="A3" s="41"/>
      <c r="B3" s="42"/>
      <c r="C3" s="42"/>
      <c r="D3" s="42"/>
      <c r="E3" s="42"/>
      <c r="F3" s="42"/>
      <c r="G3" s="42"/>
      <c r="H3" s="42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16"/>
    </row>
    <row r="4" customHeight="1" spans="1:25">
      <c r="A4" s="46"/>
      <c r="B4" s="47" t="s">
        <v>24</v>
      </c>
      <c r="C4" s="47"/>
      <c r="D4" s="48" t="s">
        <v>1330</v>
      </c>
      <c r="E4" s="48" t="s">
        <v>1331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15"/>
      <c r="S4" s="15"/>
      <c r="T4" s="15"/>
      <c r="U4" s="15"/>
      <c r="V4" s="15"/>
      <c r="W4" s="15"/>
      <c r="X4" s="15"/>
      <c r="Y4" s="16"/>
    </row>
    <row r="5" customHeight="1" spans="1:25">
      <c r="A5" s="46"/>
      <c r="B5" s="47"/>
      <c r="C5" s="47"/>
      <c r="D5" s="48"/>
      <c r="E5" s="48" t="s">
        <v>1332</v>
      </c>
      <c r="F5" s="48"/>
      <c r="G5" s="48"/>
      <c r="H5" s="48"/>
      <c r="I5" s="48" t="s">
        <v>1333</v>
      </c>
      <c r="J5" s="48"/>
      <c r="K5" s="48" t="s">
        <v>1334</v>
      </c>
      <c r="L5" s="48"/>
      <c r="M5" s="48"/>
      <c r="N5" s="48"/>
      <c r="O5" s="48"/>
      <c r="P5" s="48"/>
      <c r="Q5" s="49" t="s">
        <v>1335</v>
      </c>
      <c r="R5" s="43"/>
      <c r="S5" s="43"/>
      <c r="T5" s="43"/>
      <c r="U5" s="43"/>
      <c r="V5" s="43"/>
      <c r="W5" s="43"/>
      <c r="X5" s="43"/>
      <c r="Y5" s="16"/>
    </row>
    <row r="6" customHeight="1" spans="1:25">
      <c r="A6" s="46"/>
      <c r="B6" s="47"/>
      <c r="C6" s="47"/>
      <c r="D6" s="48"/>
      <c r="E6" s="48" t="s">
        <v>1336</v>
      </c>
      <c r="F6" s="48" t="s">
        <v>1337</v>
      </c>
      <c r="G6" s="48" t="s">
        <v>1338</v>
      </c>
      <c r="H6" s="50" t="s">
        <v>1339</v>
      </c>
      <c r="I6" s="48" t="s">
        <v>1338</v>
      </c>
      <c r="J6" s="48"/>
      <c r="K6" s="48" t="s">
        <v>1340</v>
      </c>
      <c r="L6" s="48"/>
      <c r="M6" s="48" t="s">
        <v>1341</v>
      </c>
      <c r="N6" s="48"/>
      <c r="O6" s="50" t="s">
        <v>1339</v>
      </c>
      <c r="P6" s="50"/>
      <c r="Q6" s="49"/>
      <c r="R6" s="43"/>
      <c r="S6" s="43"/>
      <c r="T6" s="43"/>
      <c r="U6" s="43"/>
      <c r="V6" s="43"/>
      <c r="W6" s="43"/>
      <c r="X6" s="43"/>
      <c r="Y6" s="16"/>
    </row>
    <row r="7" ht="14.5" spans="1:25">
      <c r="A7" s="46"/>
      <c r="B7" s="47"/>
      <c r="C7" s="47"/>
      <c r="D7" s="48"/>
      <c r="E7" s="21" t="s">
        <v>1342</v>
      </c>
      <c r="F7" s="21" t="s">
        <v>1342</v>
      </c>
      <c r="G7" s="21" t="s">
        <v>1342</v>
      </c>
      <c r="H7" s="23" t="s">
        <v>1342</v>
      </c>
      <c r="I7" s="21" t="s">
        <v>1343</v>
      </c>
      <c r="J7" s="21" t="s">
        <v>1344</v>
      </c>
      <c r="K7" s="21" t="s">
        <v>1343</v>
      </c>
      <c r="L7" s="21" t="s">
        <v>1344</v>
      </c>
      <c r="M7" s="21" t="s">
        <v>1343</v>
      </c>
      <c r="N7" s="21" t="s">
        <v>1344</v>
      </c>
      <c r="O7" s="23" t="s">
        <v>1343</v>
      </c>
      <c r="P7" s="23" t="s">
        <v>1344</v>
      </c>
      <c r="Q7" s="22" t="s">
        <v>1345</v>
      </c>
      <c r="R7" s="43"/>
      <c r="S7" s="43"/>
      <c r="T7" s="43"/>
      <c r="U7" s="43"/>
      <c r="V7" s="43"/>
      <c r="W7" s="43"/>
      <c r="X7" s="43"/>
      <c r="Y7" s="16"/>
    </row>
    <row r="8" customHeight="1" spans="1:25">
      <c r="A8" s="13"/>
      <c r="B8" s="24" t="s">
        <v>1363</v>
      </c>
      <c r="C8" s="24"/>
      <c r="D8" s="25" t="s">
        <v>1347</v>
      </c>
      <c r="E8" s="26">
        <f>IFERROR(__xludf.dummyfunction("IMPORTRANGE(XLOOKUP($A$9,Tabela_Dados_Esc_JAB_2026[INEP],Tabela_Dados_Esc_JAB_2026[ID]),""ESCOLA!P12"")"),15)</f>
        <v>15</v>
      </c>
      <c r="F8" s="26">
        <f>IFERROR(__xludf.dummyfunction("IMPORTRANGE(XLOOKUP($A$9,Tabela_Dados_Esc_JAB_2026[INEP],Tabela_Dados_Esc_JAB_2026[ID]),""ESCOLA!P14"")"),30)</f>
        <v>30</v>
      </c>
      <c r="G8" s="26">
        <f>IFERROR(__xludf.dummyfunction("IMPORTRANGE(XLOOKUP($A$9,Tabela_Dados_Esc_JAB_2026[INEP],Tabela_Dados_Esc_JAB_2026[ID]),""ESCOLA!P16"")"),40)</f>
        <v>40</v>
      </c>
      <c r="H8" s="27">
        <f>SUM(E8:G8)</f>
        <v>85</v>
      </c>
      <c r="I8" s="26">
        <v>0</v>
      </c>
      <c r="J8" s="26">
        <v>0</v>
      </c>
      <c r="K8" s="26">
        <f>IFERROR(__xludf.dummyfunction("IMPORTRANGE(XLOOKUP($A$9,Tabela_Dados_Esc_JAB_2026[INEP],Tabela_Dados_Esc_JAB_2026[ID]),""ESCOLA!D20"")"),40)</f>
        <v>40</v>
      </c>
      <c r="L8" s="26">
        <f>IFERROR(__xludf.dummyfunction("IMPORTRANGE(XLOOKUP($A$9,Tabela_Dados_Esc_JAB_2026[INEP],Tabela_Dados_Esc_JAB_2026[ID]),""ESCOLA!H20"")"),40)</f>
        <v>40</v>
      </c>
      <c r="M8" s="26">
        <f>IFERROR(__xludf.dummyfunction("IMPORTRANGE(XLOOKUP($A$9,Tabela_Dados_Esc_JAB_2026[INEP],Tabela_Dados_Esc_JAB_2026[ID]),""ESCOLA!D22"")"),40)</f>
        <v>40</v>
      </c>
      <c r="N8" s="26">
        <f>IFERROR(__xludf.dummyfunction("IMPORTRANGE(XLOOKUP($A$9,Tabela_Dados_Esc_JAB_2026[INEP],Tabela_Dados_Esc_JAB_2026[ID]),""ESCOLA!H22"")"),40)</f>
        <v>40</v>
      </c>
      <c r="O8" s="27">
        <f>SUM(I8,K8,M8)</f>
        <v>80</v>
      </c>
      <c r="P8" s="27">
        <f>SUM(J8,L8,N8)</f>
        <v>80</v>
      </c>
      <c r="Q8" s="28">
        <f>SUM(H8,O8,P8)</f>
        <v>245</v>
      </c>
      <c r="R8" s="43"/>
      <c r="S8" s="43"/>
      <c r="T8" s="43"/>
      <c r="U8" s="43"/>
      <c r="V8" s="43"/>
      <c r="W8" s="43"/>
      <c r="X8" s="43"/>
      <c r="Y8" s="16"/>
    </row>
    <row r="9" ht="14.5" spans="1:25">
      <c r="A9" s="13" t="s">
        <v>939</v>
      </c>
      <c r="B9" s="24"/>
      <c r="C9" s="24"/>
      <c r="D9" s="25" t="s">
        <v>1348</v>
      </c>
      <c r="E9" s="26">
        <f>IFERROR(__xludf.dummyfunction("IMPORTRANGE(XLOOKUP($A$9,Tabela_Dados_Esc_JAB_2026[INEP],Tabela_Dados_Esc_JAB_2026[ID]),""ESCOLA!Q12"")"),15)</f>
        <v>15</v>
      </c>
      <c r="F9" s="26">
        <f>IFERROR(__xludf.dummyfunction("IMPORTRANGE(XLOOKUP($A$9,Tabela_Dados_Esc_JAB_2026[INEP],Tabela_Dados_Esc_JAB_2026[ID]),""ESCOLA!Q14"")"),30)</f>
        <v>30</v>
      </c>
      <c r="G9" s="26">
        <f>IFERROR(__xludf.dummyfunction("IMPORTRANGE(XLOOKUP($A$9,Tabela_Dados_Esc_JAB_2026[INEP],Tabela_Dados_Esc_JAB_2026[ID]),""ESCOLA!Q16"")"),40)</f>
        <v>40</v>
      </c>
      <c r="H9" s="27">
        <f>SUM(E9:G9)</f>
        <v>85</v>
      </c>
      <c r="I9" s="26">
        <f>IFERROR(__xludf.dummyfunction("IMPORTRANGE(XLOOKUP($A$9,Tabela_Dados_Esc_JAB_2026[INEP],Tabela_Dados_Esc_JAB_2026[ID]),""ESCOLA!E18"")"),0)</f>
        <v>0</v>
      </c>
      <c r="J9" s="26">
        <f>IFERROR(__xludf.dummyfunction("IMPORTRANGE(XLOOKUP($A$9,Tabela_Dados_Esc_JAB_2026[INEP],Tabela_Dados_Esc_JAB_2026[ID]),""ESCOLA!I18"")"),0)</f>
        <v>0</v>
      </c>
      <c r="K9" s="26">
        <f>IFERROR(__xludf.dummyfunction("IMPORTRANGE(XLOOKUP($A$9,Tabela_Dados_Esc_JAB_2026[INEP],Tabela_Dados_Esc_JAB_2026[ID]),""ESCOLA!E20"")"),33)</f>
        <v>33</v>
      </c>
      <c r="L9" s="26">
        <f>IFERROR(__xludf.dummyfunction("IMPORTRANGE(XLOOKUP($A$9,Tabela_Dados_Esc_JAB_2026[INEP],Tabela_Dados_Esc_JAB_2026[ID]),""ESCOLA!I20"")"),36)</f>
        <v>36</v>
      </c>
      <c r="M9" s="26">
        <f>IFERROR(__xludf.dummyfunction("IMPORTRANGE(XLOOKUP($A$9,Tabela_Dados_Esc_JAB_2026[INEP],Tabela_Dados_Esc_JAB_2026[ID]),""ESCOLA!E22"")"),37)</f>
        <v>37</v>
      </c>
      <c r="N9" s="26">
        <f>IFERROR(__xludf.dummyfunction("IMPORTRANGE(XLOOKUP($A$9,Tabela_Dados_Esc_JAB_2026[INEP],Tabela_Dados_Esc_JAB_2026[ID]),""ESCOLA!I22"")"),38)</f>
        <v>38</v>
      </c>
      <c r="O9" s="27">
        <f>SUM(I9,K9,M9)</f>
        <v>70</v>
      </c>
      <c r="P9" s="27">
        <f>SUM(J9,L9,N9)</f>
        <v>74</v>
      </c>
      <c r="Q9" s="28">
        <f>SUM(H9,O9,P9)</f>
        <v>229</v>
      </c>
      <c r="R9" s="43"/>
      <c r="S9" s="43"/>
      <c r="T9" s="43"/>
      <c r="U9" s="43"/>
      <c r="V9" s="43"/>
      <c r="W9" s="43"/>
      <c r="X9" s="43"/>
      <c r="Y9" s="16"/>
    </row>
    <row r="10" ht="14.5" spans="1:25">
      <c r="A10" s="13"/>
      <c r="B10" s="24"/>
      <c r="C10" s="24"/>
      <c r="D10" s="29" t="s">
        <v>1349</v>
      </c>
      <c r="E10" s="30">
        <f t="shared" ref="E10:Q10" si="0">SUM(E8-E9)</f>
        <v>0</v>
      </c>
      <c r="F10" s="30">
        <f t="shared" si="0"/>
        <v>0</v>
      </c>
      <c r="G10" s="30">
        <f t="shared" si="0"/>
        <v>0</v>
      </c>
      <c r="H10" s="30">
        <f t="shared" si="0"/>
        <v>0</v>
      </c>
      <c r="I10" s="30">
        <f t="shared" si="0"/>
        <v>0</v>
      </c>
      <c r="J10" s="30">
        <f t="shared" si="0"/>
        <v>0</v>
      </c>
      <c r="K10" s="30">
        <f t="shared" si="0"/>
        <v>7</v>
      </c>
      <c r="L10" s="30">
        <f t="shared" si="0"/>
        <v>4</v>
      </c>
      <c r="M10" s="30">
        <f t="shared" si="0"/>
        <v>3</v>
      </c>
      <c r="N10" s="30">
        <f t="shared" si="0"/>
        <v>2</v>
      </c>
      <c r="O10" s="30">
        <f t="shared" si="0"/>
        <v>10</v>
      </c>
      <c r="P10" s="30">
        <f t="shared" si="0"/>
        <v>6</v>
      </c>
      <c r="Q10" s="30">
        <f t="shared" si="0"/>
        <v>16</v>
      </c>
      <c r="R10" s="43"/>
      <c r="S10" s="43"/>
      <c r="T10" s="43"/>
      <c r="U10" s="43"/>
      <c r="V10" s="43"/>
      <c r="W10" s="43"/>
      <c r="X10" s="43"/>
      <c r="Y10" s="16"/>
    </row>
    <row r="11" customHeight="1" spans="1:25">
      <c r="A11" s="13"/>
      <c r="B11" s="24" t="s">
        <v>1364</v>
      </c>
      <c r="C11" s="24"/>
      <c r="D11" s="25" t="s">
        <v>1347</v>
      </c>
      <c r="E11" s="26">
        <v>0</v>
      </c>
      <c r="F11" s="26">
        <v>0</v>
      </c>
      <c r="G11" s="26">
        <v>0</v>
      </c>
      <c r="H11" s="27">
        <f>SUM(E11:G11)</f>
        <v>0</v>
      </c>
      <c r="I11" s="26">
        <f>IFERROR(__xludf.dummyfunction("IMPORTRANGE(XLOOKUP($A$12,Tabela_Dados_Esc_JAB_2026[INEP],Tabela_Dados_Esc_JAB_2026[ID]),""ESCOLA!D18"")"),19)</f>
        <v>19</v>
      </c>
      <c r="J11" s="26">
        <f>IFERROR(__xludf.dummyfunction("IMPORTRANGE(XLOOKUP($A$12,Tabela_Dados_Esc_JAB_2026[INEP],Tabela_Dados_Esc_JAB_2026[ID]),""ESCOLA!H18"")"),19)</f>
        <v>19</v>
      </c>
      <c r="K11" s="26">
        <f>IFERROR(__xludf.dummyfunction("IMPORTRANGE(XLOOKUP($A$12,Tabela_Dados_Esc_JAB_2026[INEP],Tabela_Dados_Esc_JAB_2026[ID]),""ESCOLA!D20"")"),24)</f>
        <v>24</v>
      </c>
      <c r="L11" s="26">
        <f>IFERROR(__xludf.dummyfunction("IMPORTRANGE(XLOOKUP($A$12,Tabela_Dados_Esc_JAB_2026[INEP],Tabela_Dados_Esc_JAB_2026[ID]),""ESCOLA!H20"")"),19)</f>
        <v>19</v>
      </c>
      <c r="M11" s="26">
        <f>IFERROR(__xludf.dummyfunction("IMPORTRANGE(XLOOKUP($A$12,Tabela_Dados_Esc_JAB_2026[INEP],Tabela_Dados_Esc_JAB_2026[ID]),""ESCOLA!D22"")"),19)</f>
        <v>19</v>
      </c>
      <c r="N11" s="26">
        <f>IFERROR(__xludf.dummyfunction("IMPORTRANGE(XLOOKUP($A$12,Tabela_Dados_Esc_JAB_2026[INEP],Tabela_Dados_Esc_JAB_2026[ID]),""ESCOLA!H22"")"),28)</f>
        <v>28</v>
      </c>
      <c r="O11" s="27">
        <f>SUM(I11,K11,M11)</f>
        <v>62</v>
      </c>
      <c r="P11" s="27">
        <f>SUM(J11,L11,N11)</f>
        <v>66</v>
      </c>
      <c r="Q11" s="28">
        <f>SUM(H11,O11,P11)</f>
        <v>128</v>
      </c>
      <c r="R11" s="43"/>
      <c r="S11" s="43"/>
      <c r="T11" s="43"/>
      <c r="U11" s="43"/>
      <c r="V11" s="43"/>
      <c r="W11" s="43"/>
      <c r="X11" s="43"/>
      <c r="Y11" s="16"/>
    </row>
    <row r="12" ht="14.5" spans="1:25">
      <c r="A12" s="13" t="s">
        <v>956</v>
      </c>
      <c r="B12" s="24"/>
      <c r="C12" s="24"/>
      <c r="D12" s="25" t="s">
        <v>1348</v>
      </c>
      <c r="E12" s="26">
        <f>IFERROR(__xludf.dummyfunction("IMPORTRANGE(XLOOKUP($A$12,Tabela_Dados_Esc_JAB_2026[INEP],Tabela_Dados_Esc_JAB_2026[ID]),""ESCOLA!Q12"")"),0)</f>
        <v>0</v>
      </c>
      <c r="F12" s="26">
        <f>IFERROR(__xludf.dummyfunction("IMPORTRANGE(XLOOKUP($A$12,Tabela_Dados_Esc_JAB_2026[INEP],Tabela_Dados_Esc_JAB_2026[ID]),""ESCOLA!Q14"")"),0)</f>
        <v>0</v>
      </c>
      <c r="G12" s="26">
        <v>0</v>
      </c>
      <c r="H12" s="27">
        <f>SUM(E12:G12)</f>
        <v>0</v>
      </c>
      <c r="I12" s="26">
        <f>IFERROR(__xludf.dummyfunction("IMPORTRANGE(XLOOKUP($A$12,Tabela_Dados_Esc_JAB_2026[INEP],Tabela_Dados_Esc_JAB_2026[ID]),""ESCOLA!E18"")"),19)</f>
        <v>19</v>
      </c>
      <c r="J12" s="26">
        <f>IFERROR(__xludf.dummyfunction("IMPORTRANGE(XLOOKUP($A$12,Tabela_Dados_Esc_JAB_2026[INEP],Tabela_Dados_Esc_JAB_2026[ID]),""ESCOLA!I18"")"),19)</f>
        <v>19</v>
      </c>
      <c r="K12" s="26">
        <f>IFERROR(__xludf.dummyfunction("IMPORTRANGE(XLOOKUP($A$12,Tabela_Dados_Esc_JAB_2026[INEP],Tabela_Dados_Esc_JAB_2026[ID]),""ESCOLA!E20"")"),28)</f>
        <v>28</v>
      </c>
      <c r="L12" s="26">
        <f>IFERROR(__xludf.dummyfunction("IMPORTRANGE(XLOOKUP($A$12,Tabela_Dados_Esc_JAB_2026[INEP],Tabela_Dados_Esc_JAB_2026[ID]),""ESCOLA!I20"")"),19)</f>
        <v>19</v>
      </c>
      <c r="M12" s="26">
        <f>IFERROR(__xludf.dummyfunction("IMPORTRANGE(XLOOKUP($A$12,Tabela_Dados_Esc_JAB_2026[INEP],Tabela_Dados_Esc_JAB_2026[ID]),""ESCOLA!E22"")"),18)</f>
        <v>18</v>
      </c>
      <c r="N12" s="26">
        <f>IFERROR(__xludf.dummyfunction("IMPORTRANGE(XLOOKUP($A$12,Tabela_Dados_Esc_JAB_2026[INEP],Tabela_Dados_Esc_JAB_2026[ID]),""ESCOLA!I22"")"),27)</f>
        <v>27</v>
      </c>
      <c r="O12" s="27">
        <f>SUM(I12,K12,M12)</f>
        <v>65</v>
      </c>
      <c r="P12" s="27">
        <f>SUM(J12,L12,N12)</f>
        <v>65</v>
      </c>
      <c r="Q12" s="28">
        <f>SUM(H12,O12,P12)</f>
        <v>130</v>
      </c>
      <c r="R12" s="43"/>
      <c r="S12" s="43"/>
      <c r="T12" s="43"/>
      <c r="U12" s="43"/>
      <c r="V12" s="43"/>
      <c r="W12" s="43"/>
      <c r="X12" s="43"/>
      <c r="Y12" s="16"/>
    </row>
    <row r="13" ht="14.5" spans="1:25">
      <c r="A13" s="13"/>
      <c r="B13" s="24"/>
      <c r="C13" s="24"/>
      <c r="D13" s="29" t="s">
        <v>1349</v>
      </c>
      <c r="E13" s="30">
        <f t="shared" ref="E13:Q13" si="1">SUM(E11-E12)</f>
        <v>0</v>
      </c>
      <c r="F13" s="30">
        <f t="shared" si="1"/>
        <v>0</v>
      </c>
      <c r="G13" s="30">
        <f t="shared" si="1"/>
        <v>0</v>
      </c>
      <c r="H13" s="30">
        <f t="shared" si="1"/>
        <v>0</v>
      </c>
      <c r="I13" s="30">
        <f t="shared" si="1"/>
        <v>0</v>
      </c>
      <c r="J13" s="30">
        <f t="shared" si="1"/>
        <v>0</v>
      </c>
      <c r="K13" s="30">
        <f t="shared" si="1"/>
        <v>-4</v>
      </c>
      <c r="L13" s="30">
        <f t="shared" si="1"/>
        <v>0</v>
      </c>
      <c r="M13" s="30">
        <f t="shared" si="1"/>
        <v>1</v>
      </c>
      <c r="N13" s="30">
        <f t="shared" si="1"/>
        <v>1</v>
      </c>
      <c r="O13" s="30">
        <f t="shared" si="1"/>
        <v>-3</v>
      </c>
      <c r="P13" s="30">
        <f t="shared" si="1"/>
        <v>1</v>
      </c>
      <c r="Q13" s="30">
        <f t="shared" si="1"/>
        <v>-2</v>
      </c>
      <c r="R13" s="43"/>
      <c r="S13" s="43"/>
      <c r="T13" s="43"/>
      <c r="U13" s="43"/>
      <c r="V13" s="43"/>
      <c r="W13" s="43"/>
      <c r="X13" s="43"/>
      <c r="Y13" s="16"/>
    </row>
    <row r="14" customHeight="1" spans="1:25">
      <c r="A14" s="13"/>
      <c r="B14" s="24" t="s">
        <v>1365</v>
      </c>
      <c r="C14" s="24"/>
      <c r="D14" s="25" t="s">
        <v>1347</v>
      </c>
      <c r="E14" s="26">
        <f>IFERROR(__xludf.dummyfunction("IMPORTRANGE(XLOOKUP($A$15,Tabela_Dados_Esc_JAB_2026[INEP],Tabela_Dados_Esc_JAB_2026[ID]),""ESCOLA!P12"")"),15)</f>
        <v>15</v>
      </c>
      <c r="F14" s="26">
        <f>IFERROR(__xludf.dummyfunction("IMPORTRANGE(XLOOKUP($A$15,Tabela_Dados_Esc_JAB_2026[INEP],Tabela_Dados_Esc_JAB_2026[ID]),""ESCOLA!P14"")"),30)</f>
        <v>30</v>
      </c>
      <c r="G14" s="26">
        <f>IFERROR(__xludf.dummyfunction("IMPORTRANGE(XLOOKUP($A$15,Tabela_Dados_Esc_JAB_2026[INEP],Tabela_Dados_Esc_JAB_2026[ID]),""ESCOLA!P16"")"),40)</f>
        <v>40</v>
      </c>
      <c r="H14" s="27">
        <f>SUM(E14:G14)</f>
        <v>85</v>
      </c>
      <c r="I14" s="26">
        <f>IFERROR(__xludf.dummyfunction("IMPORTRANGE(XLOOKUP($A$15,Tabela_Dados_Esc_JAB_2026[INEP],Tabela_Dados_Esc_JAB_2026[ID]),""ESCOLA!E18"")"),0)</f>
        <v>0</v>
      </c>
      <c r="J14" s="26">
        <f>IFERROR(__xludf.dummyfunction("IMPORTRANGE(XLOOKUP($A$15,Tabela_Dados_Esc_JAB_2026[INEP],Tabela_Dados_Esc_JAB_2026[ID]),""ESCOLA!I18"")"),0)</f>
        <v>0</v>
      </c>
      <c r="K14" s="26">
        <f>IFERROR(__xludf.dummyfunction("IMPORTRANGE(XLOOKUP($A$15,Tabela_Dados_Esc_JAB_2026[INEP],Tabela_Dados_Esc_JAB_2026[ID]),""ESCOLA!E20"")"),0)</f>
        <v>0</v>
      </c>
      <c r="L14" s="26">
        <f>IFERROR(__xludf.dummyfunction("IMPORTRANGE(XLOOKUP($A$15,Tabela_Dados_Esc_JAB_2026[INEP],Tabela_Dados_Esc_JAB_2026[ID]),""ESCOLA!I20"")"),0)</f>
        <v>0</v>
      </c>
      <c r="M14" s="26">
        <f>IFERROR(__xludf.dummyfunction("IMPORTRANGE(XLOOKUP($A$15,Tabela_Dados_Esc_JAB_2026[INEP],Tabela_Dados_Esc_JAB_2026[ID]),""ESCOLA!E22"")"),0)</f>
        <v>0</v>
      </c>
      <c r="N14" s="26">
        <f>IFERROR(__xludf.dummyfunction("IMPORTRANGE(XLOOKUP($A$15,Tabela_Dados_Esc_JAB_2026[INEP],Tabela_Dados_Esc_JAB_2026[ID]),""ESCOLA!I22"")"),0)</f>
        <v>0</v>
      </c>
      <c r="O14" s="27">
        <f>SUM(I14,K14,M14)</f>
        <v>0</v>
      </c>
      <c r="P14" s="27">
        <f>SUM(J14,L14,N14)</f>
        <v>0</v>
      </c>
      <c r="Q14" s="28">
        <f>SUM(H14,O14,P14)</f>
        <v>85</v>
      </c>
      <c r="R14" s="43"/>
      <c r="S14" s="43"/>
      <c r="T14" s="43"/>
      <c r="U14" s="43"/>
      <c r="V14" s="43"/>
      <c r="W14" s="43"/>
      <c r="X14" s="43"/>
      <c r="Y14" s="16"/>
    </row>
    <row r="15" ht="14.5" spans="1:25">
      <c r="A15" s="13" t="s">
        <v>965</v>
      </c>
      <c r="B15" s="24"/>
      <c r="C15" s="24"/>
      <c r="D15" s="25" t="s">
        <v>1348</v>
      </c>
      <c r="E15" s="26">
        <f>IFERROR(__xludf.dummyfunction("IMPORTRANGE(XLOOKUP($A$15,Tabela_Dados_Esc_JAB_2026[INEP],Tabela_Dados_Esc_JAB_2026[ID]),""ESCOLA!Q12"")"),16)</f>
        <v>16</v>
      </c>
      <c r="F15" s="26">
        <f>IFERROR(__xludf.dummyfunction("IMPORTRANGE(XLOOKUP($A$15,Tabela_Dados_Esc_JAB_2026[INEP],Tabela_Dados_Esc_JAB_2026[ID]),""ESCOLA!Q14"")"),30)</f>
        <v>30</v>
      </c>
      <c r="G15" s="26">
        <f>IFERROR(__xludf.dummyfunction("IMPORTRANGE(XLOOKUP($A$15,Tabela_Dados_Esc_JAB_2026[INEP],Tabela_Dados_Esc_JAB_2026[ID]),""ESCOLA!Q16"")"),28)</f>
        <v>28</v>
      </c>
      <c r="H15" s="27">
        <f>SUM(E15:G15)</f>
        <v>74</v>
      </c>
      <c r="I15" s="26">
        <f>IFERROR(__xludf.dummyfunction("IMPORTRANGE(XLOOKUP($A$15,Tabela_Dados_Esc_JAB_2026[INEP],Tabela_Dados_Esc_JAB_2026[ID]),""ESCOLA!E18"")"),0)</f>
        <v>0</v>
      </c>
      <c r="J15" s="26">
        <f>IFERROR(__xludf.dummyfunction("IMPORTRANGE(XLOOKUP($A$15,Tabela_Dados_Esc_JAB_2026[INEP],Tabela_Dados_Esc_JAB_2026[ID]),""ESCOLA!I18"")"),0)</f>
        <v>0</v>
      </c>
      <c r="K15" s="26">
        <f>IFERROR(__xludf.dummyfunction("IMPORTRANGE(XLOOKUP($A$15,Tabela_Dados_Esc_JAB_2026[INEP],Tabela_Dados_Esc_JAB_2026[ID]),""ESCOLA!E20"")"),0)</f>
        <v>0</v>
      </c>
      <c r="L15" s="26">
        <f>IFERROR(__xludf.dummyfunction("IMPORTRANGE(XLOOKUP($A$15,Tabela_Dados_Esc_JAB_2026[INEP],Tabela_Dados_Esc_JAB_2026[ID]),""ESCOLA!I20"")"),0)</f>
        <v>0</v>
      </c>
      <c r="M15" s="26">
        <f>IFERROR(__xludf.dummyfunction("IMPORTRANGE(XLOOKUP($A$15,Tabela_Dados_Esc_JAB_2026[INEP],Tabela_Dados_Esc_JAB_2026[ID]),""ESCOLA!E22"")"),0)</f>
        <v>0</v>
      </c>
      <c r="N15" s="26">
        <f>IFERROR(__xludf.dummyfunction("IMPORTRANGE(XLOOKUP($A$15,Tabela_Dados_Esc_JAB_2026[INEP],Tabela_Dados_Esc_JAB_2026[ID]),""ESCOLA!I22"")"),0)</f>
        <v>0</v>
      </c>
      <c r="O15" s="27">
        <v>0</v>
      </c>
      <c r="P15" s="27">
        <f>SUM(J15,L15,N15)</f>
        <v>0</v>
      </c>
      <c r="Q15" s="28">
        <f>SUM(H15,O15,P15)</f>
        <v>74</v>
      </c>
      <c r="R15" s="43"/>
      <c r="S15" s="43"/>
      <c r="T15" s="43"/>
      <c r="U15" s="43"/>
      <c r="V15" s="43"/>
      <c r="W15" s="43"/>
      <c r="X15" s="43"/>
      <c r="Y15" s="16"/>
    </row>
    <row r="16" ht="14.5" spans="1:25">
      <c r="A16" s="13"/>
      <c r="B16" s="24"/>
      <c r="C16" s="24"/>
      <c r="D16" s="29" t="s">
        <v>1349</v>
      </c>
      <c r="E16" s="30">
        <f t="shared" ref="E16:Q16" si="2">SUM(E14-E15)</f>
        <v>-1</v>
      </c>
      <c r="F16" s="30">
        <f t="shared" si="2"/>
        <v>0</v>
      </c>
      <c r="G16" s="30">
        <f t="shared" si="2"/>
        <v>12</v>
      </c>
      <c r="H16" s="30">
        <f t="shared" si="2"/>
        <v>11</v>
      </c>
      <c r="I16" s="30">
        <f t="shared" si="2"/>
        <v>0</v>
      </c>
      <c r="J16" s="30">
        <f t="shared" si="2"/>
        <v>0</v>
      </c>
      <c r="K16" s="30">
        <f t="shared" si="2"/>
        <v>0</v>
      </c>
      <c r="L16" s="30">
        <f t="shared" si="2"/>
        <v>0</v>
      </c>
      <c r="M16" s="30">
        <f t="shared" si="2"/>
        <v>0</v>
      </c>
      <c r="N16" s="30">
        <f t="shared" si="2"/>
        <v>0</v>
      </c>
      <c r="O16" s="30">
        <f t="shared" si="2"/>
        <v>0</v>
      </c>
      <c r="P16" s="30">
        <f t="shared" si="2"/>
        <v>0</v>
      </c>
      <c r="Q16" s="30">
        <f t="shared" si="2"/>
        <v>11</v>
      </c>
      <c r="R16" s="43"/>
      <c r="S16" s="43"/>
      <c r="T16" s="43"/>
      <c r="U16" s="43"/>
      <c r="V16" s="43"/>
      <c r="W16" s="43"/>
      <c r="X16" s="43"/>
      <c r="Y16" s="16"/>
    </row>
    <row r="17" customHeight="1" spans="1:25">
      <c r="A17" s="13"/>
      <c r="B17" s="24" t="s">
        <v>1366</v>
      </c>
      <c r="C17" s="24"/>
      <c r="D17" s="25" t="s">
        <v>1347</v>
      </c>
      <c r="E17" s="26">
        <v>0</v>
      </c>
      <c r="F17" s="26">
        <v>0</v>
      </c>
      <c r="G17" s="26">
        <v>0</v>
      </c>
      <c r="H17" s="27">
        <f>SUM(E17:G17)</f>
        <v>0</v>
      </c>
      <c r="I17" s="26">
        <f>IFERROR(__xludf.dummyfunction("IMPORTRANGE(XLOOKUP($A$18,Tabela_Dados_Esc_JAB_2026[INEP],Tabela_Dados_Esc_JAB_2026[ID]),""ESCOLA!D18"")"),40)</f>
        <v>40</v>
      </c>
      <c r="J17" s="26">
        <f>IFERROR(__xludf.dummyfunction("IMPORTRANGE(XLOOKUP($A$18,Tabela_Dados_Esc_JAB_2026[INEP],Tabela_Dados_Esc_JAB_2026[ID]),""ESCOLA!H18"")"),40)</f>
        <v>40</v>
      </c>
      <c r="K17" s="26">
        <f>IFERROR(__xludf.dummyfunction("IMPORTRANGE(XLOOKUP($A$18,Tabela_Dados_Esc_JAB_2026[INEP],Tabela_Dados_Esc_JAB_2026[ID]),""ESCOLA!D20"")"),40)</f>
        <v>40</v>
      </c>
      <c r="L17" s="26">
        <f>IFERROR(__xludf.dummyfunction("IMPORTRANGE(XLOOKUP($A$18,Tabela_Dados_Esc_JAB_2026[INEP],Tabela_Dados_Esc_JAB_2026[ID]),""ESCOLA!H20"")"),60)</f>
        <v>60</v>
      </c>
      <c r="M17" s="26">
        <f>IFERROR(__xludf.dummyfunction("IMPORTRANGE(XLOOKUP($A$18,Tabela_Dados_Esc_JAB_2026[INEP],Tabela_Dados_Esc_JAB_2026[ID]),""ESCOLA!D22"")"),60)</f>
        <v>60</v>
      </c>
      <c r="N17" s="26">
        <f>IFERROR(__xludf.dummyfunction("IMPORTRANGE(XLOOKUP($A$18,Tabela_Dados_Esc_JAB_2026[INEP],Tabela_Dados_Esc_JAB_2026[ID]),""ESCOLA!H22"")"),40)</f>
        <v>40</v>
      </c>
      <c r="O17" s="27">
        <f>SUM(I17,K17,M17)</f>
        <v>140</v>
      </c>
      <c r="P17" s="27">
        <f>SUM(J17,L17,N17)</f>
        <v>140</v>
      </c>
      <c r="Q17" s="28">
        <f>SUM(H17,O17,P17)</f>
        <v>280</v>
      </c>
      <c r="R17" s="43"/>
      <c r="S17" s="43"/>
      <c r="T17" s="43"/>
      <c r="U17" s="43"/>
      <c r="V17" s="43"/>
      <c r="W17" s="43"/>
      <c r="X17" s="43"/>
      <c r="Y17" s="16"/>
    </row>
    <row r="18" ht="14.5" spans="1:25">
      <c r="A18" s="13" t="s">
        <v>948</v>
      </c>
      <c r="B18" s="24"/>
      <c r="C18" s="24"/>
      <c r="D18" s="25" t="s">
        <v>1348</v>
      </c>
      <c r="E18" s="26">
        <f>IFERROR(__xludf.dummyfunction("IMPORTRANGE(XLOOKUP($A$18,Tabela_Dados_Esc_JAB_2026[INEP],Tabela_Dados_Esc_JAB_2026[ID]),""ESCOLA!Q12"")"),0)</f>
        <v>0</v>
      </c>
      <c r="F18" s="26">
        <f>IFERROR(__xludf.dummyfunction("IMPORTRANGE(XLOOKUP($A$18,Tabela_Dados_Esc_JAB_2026[INEP],Tabela_Dados_Esc_JAB_2026[ID]),""ESCOLA!Q14"")"),0)</f>
        <v>0</v>
      </c>
      <c r="G18" s="26">
        <f>IFERROR(__xludf.dummyfunction("IMPORTRANGE(XLOOKUP($A$18,Tabela_Dados_Esc_JAB_2026[INEP],Tabela_Dados_Esc_JAB_2026[ID]),""ESCOLA!Q16"")"),0)</f>
        <v>0</v>
      </c>
      <c r="H18" s="27">
        <f>SUM(E18:G18)</f>
        <v>0</v>
      </c>
      <c r="I18" s="26">
        <f>IFERROR(__xludf.dummyfunction("IMPORTRANGE(XLOOKUP($A$18,Tabela_Dados_Esc_JAB_2026[INEP],Tabela_Dados_Esc_JAB_2026[ID]),""ESCOLA!E18"")"),19)</f>
        <v>19</v>
      </c>
      <c r="J18" s="26">
        <f>IFERROR(__xludf.dummyfunction("IMPORTRANGE(XLOOKUP($A$18,Tabela_Dados_Esc_JAB_2026[INEP],Tabela_Dados_Esc_JAB_2026[ID]),""ESCOLA!I18"")"),26)</f>
        <v>26</v>
      </c>
      <c r="K18" s="26">
        <f>IFERROR(__xludf.dummyfunction("IMPORTRANGE(XLOOKUP($A$18,Tabela_Dados_Esc_JAB_2026[INEP],Tabela_Dados_Esc_JAB_2026[ID]),""ESCOLA!E20"")"),31)</f>
        <v>31</v>
      </c>
      <c r="L18" s="26">
        <f>IFERROR(__xludf.dummyfunction("IMPORTRANGE(XLOOKUP($A$18,Tabela_Dados_Esc_JAB_2026[INEP],Tabela_Dados_Esc_JAB_2026[ID]),""ESCOLA!I20"")"),53)</f>
        <v>53</v>
      </c>
      <c r="M18" s="26">
        <f>IFERROR(__xludf.dummyfunction("IMPORTRANGE(XLOOKUP($A$18,Tabela_Dados_Esc_JAB_2026[INEP],Tabela_Dados_Esc_JAB_2026[ID]),""ESCOLA!E22"")"),47)</f>
        <v>47</v>
      </c>
      <c r="N18" s="26">
        <f>IFERROR(__xludf.dummyfunction("IMPORTRANGE(XLOOKUP($A$18,Tabela_Dados_Esc_JAB_2026[INEP],Tabela_Dados_Esc_JAB_2026[ID]),""ESCOLA!I22"")"),39)</f>
        <v>39</v>
      </c>
      <c r="O18" s="27">
        <v>0</v>
      </c>
      <c r="P18" s="27">
        <f>SUM(J18,L18,N18)</f>
        <v>118</v>
      </c>
      <c r="Q18" s="28">
        <f>SUM(H18,O18,P18)</f>
        <v>118</v>
      </c>
      <c r="R18" s="43"/>
      <c r="S18" s="43"/>
      <c r="T18" s="43"/>
      <c r="U18" s="43"/>
      <c r="V18" s="43"/>
      <c r="W18" s="43"/>
      <c r="X18" s="43"/>
      <c r="Y18" s="16"/>
    </row>
    <row r="19" ht="14.5" spans="1:25">
      <c r="A19" s="13"/>
      <c r="B19" s="24"/>
      <c r="C19" s="24"/>
      <c r="D19" s="29" t="s">
        <v>1349</v>
      </c>
      <c r="E19" s="30">
        <f t="shared" ref="E19:J19" si="3">SUM(E17-E18)</f>
        <v>0</v>
      </c>
      <c r="F19" s="30">
        <f t="shared" si="3"/>
        <v>0</v>
      </c>
      <c r="G19" s="30">
        <f t="shared" si="3"/>
        <v>0</v>
      </c>
      <c r="H19" s="30">
        <f t="shared" si="3"/>
        <v>0</v>
      </c>
      <c r="I19" s="30">
        <f t="shared" si="3"/>
        <v>21</v>
      </c>
      <c r="J19" s="30">
        <f t="shared" si="3"/>
        <v>14</v>
      </c>
      <c r="K19" s="30">
        <f t="shared" ref="K19:Q19" si="4">SUM(K17-K20)</f>
        <v>40</v>
      </c>
      <c r="L19" s="30">
        <f t="shared" si="4"/>
        <v>60</v>
      </c>
      <c r="M19" s="30">
        <f t="shared" si="4"/>
        <v>60</v>
      </c>
      <c r="N19" s="30">
        <f t="shared" si="4"/>
        <v>40</v>
      </c>
      <c r="O19" s="30">
        <f t="shared" si="4"/>
        <v>140</v>
      </c>
      <c r="P19" s="30">
        <f t="shared" si="4"/>
        <v>140</v>
      </c>
      <c r="Q19" s="30">
        <f t="shared" si="4"/>
        <v>245</v>
      </c>
      <c r="R19" s="43"/>
      <c r="S19" s="43"/>
      <c r="T19" s="43"/>
      <c r="U19" s="43"/>
      <c r="V19" s="43"/>
      <c r="W19" s="43"/>
      <c r="X19" s="43"/>
      <c r="Y19" s="16"/>
    </row>
    <row r="20" customHeight="1" spans="1:25">
      <c r="A20" s="13"/>
      <c r="B20" s="24" t="s">
        <v>983</v>
      </c>
      <c r="C20" s="24"/>
      <c r="D20" s="51" t="s">
        <v>1347</v>
      </c>
      <c r="E20" s="26">
        <f>IFERROR(__xludf.dummyfunction("IMPORTRANGE(XLOOKUP($A$21,Tabela_Dados_Esc_JAB_2026[INEP],Tabela_Dados_Esc_JAB_2026[ID]),""ESCOLA!P12"")"),20)</f>
        <v>20</v>
      </c>
      <c r="F20" s="26">
        <f>IFERROR(__xludf.dummyfunction("IMPORTRANGE(XLOOKUP($A$21,Tabela_Dados_Esc_JAB_2026[INEP],Tabela_Dados_Esc_JAB_2026[ID]),""ESCOLA!P14"")"),15)</f>
        <v>15</v>
      </c>
      <c r="G20" s="26">
        <v>0</v>
      </c>
      <c r="H20" s="27">
        <f>SUM(E20:G20)</f>
        <v>35</v>
      </c>
      <c r="I20" s="26">
        <v>0</v>
      </c>
      <c r="J20" s="26">
        <f>IFERROR(__xludf.dummyfunction("IMPORTRANGE(XLOOKUP($A$15,Tabela_Dados_Esc_JAB_2026[INEP],Tabela_Dados_Esc_JAB_2026[ID]),""ESCOLA!E18"")"),0)</f>
        <v>0</v>
      </c>
      <c r="K20" s="26">
        <f>IFERROR(__xludf.dummyfunction("IMPORTRANGE(XLOOKUP($A$15,Tabela_Dados_Esc_JAB_2026[INEP],Tabela_Dados_Esc_JAB_2026[ID]),""ESCOLA!I18"")"),0)</f>
        <v>0</v>
      </c>
      <c r="L20" s="26">
        <f>IFERROR(__xludf.dummyfunction("IMPORTRANGE(XLOOKUP($A$15,Tabela_Dados_Esc_JAB_2026[INEP],Tabela_Dados_Esc_JAB_2026[ID]),""ESCOLA!E20"")"),0)</f>
        <v>0</v>
      </c>
      <c r="M20" s="26">
        <f>IFERROR(__xludf.dummyfunction("IMPORTRANGE(XLOOKUP($A$15,Tabela_Dados_Esc_JAB_2026[INEP],Tabela_Dados_Esc_JAB_2026[ID]),""ESCOLA!I20"")"),0)</f>
        <v>0</v>
      </c>
      <c r="N20" s="26">
        <f>IFERROR(__xludf.dummyfunction("IMPORTRANGE(XLOOKUP($A$15,Tabela_Dados_Esc_JAB_2026[INEP],Tabela_Dados_Esc_JAB_2026[ID]),""ESCOLA!E22"")"),0)</f>
        <v>0</v>
      </c>
      <c r="O20" s="26">
        <f>IFERROR(__xludf.dummyfunction("IMPORTRANGE(XLOOKUP($A$15,Tabela_Dados_Esc_JAB_2026[INEP],Tabela_Dados_Esc_JAB_2026[ID]),""ESCOLA!I22"")"),0)</f>
        <v>0</v>
      </c>
      <c r="P20" s="27">
        <f>SUM(J20,L20,N20)</f>
        <v>0</v>
      </c>
      <c r="Q20" s="28">
        <f>SUM(H20,O20,P20)</f>
        <v>35</v>
      </c>
      <c r="R20" s="43"/>
      <c r="S20" s="43"/>
      <c r="T20" s="43"/>
      <c r="U20" s="43"/>
      <c r="V20" s="43"/>
      <c r="W20" s="43"/>
      <c r="X20" s="43"/>
      <c r="Y20" s="16"/>
    </row>
    <row r="21" ht="15.75" customHeight="1" spans="1:25">
      <c r="A21" s="13" t="s">
        <v>982</v>
      </c>
      <c r="B21" s="24"/>
      <c r="C21" s="24"/>
      <c r="D21" s="51" t="s">
        <v>1348</v>
      </c>
      <c r="E21" s="26">
        <f>IFERROR(__xludf.dummyfunction("IMPORTRANGE(XLOOKUP($A$21,Tabela_Dados_Esc_JAB_2026[INEP],Tabela_Dados_Esc_JAB_2026[ID]),""ESCOLA!Q12"")"),20)</f>
        <v>20</v>
      </c>
      <c r="F21" s="26">
        <f>IFERROR(__xludf.dummyfunction("IMPORTRANGE(XLOOKUP($A$21,Tabela_Dados_Esc_JAB_2026[INEP],Tabela_Dados_Esc_JAB_2026[ID]),""ESCOLA!Q14"")"),15)</f>
        <v>15</v>
      </c>
      <c r="G21" s="26">
        <f>IFERROR(__xludf.dummyfunction("IMPORTRANGE(XLOOKUP($A$21,Tabela_Dados_Esc_JAB_2026[INEP],Tabela_Dados_Esc_JAB_2026[ID]),""ESCOLA!Q16"")"),0)</f>
        <v>0</v>
      </c>
      <c r="H21" s="27">
        <f>SUM(E21:G21)</f>
        <v>35</v>
      </c>
      <c r="I21" s="26">
        <f>IFERROR(__xludf.dummyfunction("IMPORTRANGE(XLOOKUP($A$21,Tabela_Dados_Esc_JAB_2026[INEP],Tabela_Dados_Esc_JAB_2026[ID]),""ESCOLA!E18"")"),0)</f>
        <v>0</v>
      </c>
      <c r="J21" s="26">
        <f>IFERROR(__xludf.dummyfunction("IMPORTRANGE(XLOOKUP($A$21,Tabela_Dados_Esc_JAB_2026[INEP],Tabela_Dados_Esc_JAB_2026[ID]),""ESCOLA!I18"")"),0)</f>
        <v>0</v>
      </c>
      <c r="K21" s="26">
        <f>IFERROR(__xludf.dummyfunction("IMPORTRANGE(XLOOKUP($A$21,Tabela_Dados_Esc_JAB_2026[INEP],Tabela_Dados_Esc_JAB_2026[ID]),""ESCOLA!E20"")"),0)</f>
        <v>0</v>
      </c>
      <c r="L21" s="26">
        <f>IFERROR(__xludf.dummyfunction("IMPORTRANGE(XLOOKUP($A$21,Tabela_Dados_Esc_JAB_2026[INEP],Tabela_Dados_Esc_JAB_2026[ID]),""ESCOLA!I20"")"),0)</f>
        <v>0</v>
      </c>
      <c r="M21" s="26">
        <f>IFERROR(__xludf.dummyfunction("IMPORTRANGE(XLOOKUP($A$21,Tabela_Dados_Esc_JAB_2026[INEP],Tabela_Dados_Esc_JAB_2026[ID]),""ESCOLA!E22"")"),0)</f>
        <v>0</v>
      </c>
      <c r="N21" s="26">
        <f>IFERROR(__xludf.dummyfunction("IMPORTRANGE(XLOOKUP($A$21,Tabela_Dados_Esc_JAB_2026[INEP],Tabela_Dados_Esc_JAB_2026[ID]),""ESCOLA!I22"")"),0)</f>
        <v>0</v>
      </c>
      <c r="O21" s="27">
        <v>0</v>
      </c>
      <c r="P21" s="27">
        <f>SUM(J21,L21,N21)</f>
        <v>0</v>
      </c>
      <c r="Q21" s="28">
        <f>SUM(H21,O21,P21)</f>
        <v>35</v>
      </c>
      <c r="R21" s="43"/>
      <c r="S21" s="43"/>
      <c r="T21" s="43"/>
      <c r="U21" s="43"/>
      <c r="V21" s="43"/>
      <c r="W21" s="43"/>
      <c r="X21" s="43"/>
      <c r="Y21" s="16"/>
    </row>
    <row r="22" ht="15.75" customHeight="1" spans="1:25">
      <c r="A22" s="13"/>
      <c r="B22" s="24"/>
      <c r="C22" s="24"/>
      <c r="D22" s="52" t="s">
        <v>1349</v>
      </c>
      <c r="E22" s="30">
        <f t="shared" ref="E22:J22" si="5">SUM(E20-E21)</f>
        <v>0</v>
      </c>
      <c r="F22" s="30">
        <f t="shared" si="5"/>
        <v>0</v>
      </c>
      <c r="G22" s="30">
        <f t="shared" si="5"/>
        <v>0</v>
      </c>
      <c r="H22" s="30">
        <f t="shared" si="5"/>
        <v>0</v>
      </c>
      <c r="I22" s="30">
        <f t="shared" si="5"/>
        <v>0</v>
      </c>
      <c r="J22" s="30">
        <f t="shared" si="5"/>
        <v>0</v>
      </c>
      <c r="K22" s="30">
        <f t="shared" ref="K22:Q22" si="6">SUM(K20-K23)</f>
        <v>0</v>
      </c>
      <c r="L22" s="30">
        <f t="shared" si="6"/>
        <v>0</v>
      </c>
      <c r="M22" s="30">
        <f t="shared" si="6"/>
        <v>0</v>
      </c>
      <c r="N22" s="30">
        <f t="shared" si="6"/>
        <v>0</v>
      </c>
      <c r="O22" s="30">
        <f t="shared" si="6"/>
        <v>0</v>
      </c>
      <c r="P22" s="30">
        <f t="shared" si="6"/>
        <v>0</v>
      </c>
      <c r="Q22" s="30">
        <f t="shared" si="6"/>
        <v>35</v>
      </c>
      <c r="R22" s="43"/>
      <c r="S22" s="43"/>
      <c r="T22" s="43"/>
      <c r="U22" s="43"/>
      <c r="V22" s="43"/>
      <c r="W22" s="43"/>
      <c r="X22" s="43"/>
      <c r="Y22" s="16"/>
    </row>
    <row r="23" ht="15.75" customHeight="1" spans="1:25">
      <c r="A23" s="41"/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16"/>
    </row>
    <row r="24" ht="15.75" customHeight="1" spans="1:25">
      <c r="A24" s="41"/>
      <c r="B24" s="42"/>
      <c r="C24" s="42"/>
      <c r="D24" s="42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16"/>
    </row>
    <row r="25" ht="29" spans="1:25">
      <c r="A25" s="53" t="s">
        <v>23</v>
      </c>
      <c r="B25" s="54" t="s">
        <v>15</v>
      </c>
      <c r="C25" s="55" t="s">
        <v>1351</v>
      </c>
      <c r="D25" s="55" t="s">
        <v>16</v>
      </c>
      <c r="E25" s="55" t="s">
        <v>17</v>
      </c>
      <c r="F25" s="55" t="s">
        <v>11</v>
      </c>
      <c r="G25" s="56" t="s">
        <v>18</v>
      </c>
      <c r="H25" s="56" t="s">
        <v>19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ht="15.75" customHeight="1" spans="1:25">
      <c r="A26" s="36" t="str">
        <f t="shared" ref="A26:A69" si="7">IF(B26&lt;&gt;"","REGIONAL 6","")</f>
        <v>REGIONAL 6</v>
      </c>
      <c r="B26" s="37" t="str">
        <f>IFERROR(__xludf.dummyfunction("QUERY(dados_02!$A$2:$H$675, ""SELECT Col1, Col2, Col3, Col4, Col5, Col6, Col7  where Col8 = 'REGIONAL 6' "")"),"09/03/2026 17:29:00")</f>
        <v>09/03/2026 17:29:00</v>
      </c>
      <c r="C26" s="38" t="str">
        <f>IFERROR(__xludf.dummyfunction("""COMPUTED_VALUE"""),"1")</f>
        <v>1</v>
      </c>
      <c r="D26" s="15" t="str">
        <f>IFERROR(__xludf.dummyfunction("""COMPUTED_VALUE"""),"M. D. C. M. C")</f>
        <v>M. D. C. M. C</v>
      </c>
      <c r="E26" s="39" t="str">
        <f>IFERROR(__xludf.dummyfunction("""COMPUTED_VALUE"""),"21/05/2024")</f>
        <v>21/05/2024</v>
      </c>
      <c r="F26" s="15" t="str">
        <f>IFERROR(__xludf.dummyfunction("""COMPUTED_VALUE"""),"003******58")</f>
        <v>003******58</v>
      </c>
      <c r="G26" s="15" t="str">
        <f>IFERROR(__xludf.dummyfunction("""COMPUTED_VALUE"""),"INFANTIL 1")</f>
        <v>INFANTIL 1</v>
      </c>
      <c r="H26" s="40" t="str">
        <f>IFERROR(__xludf.dummyfunction("""COMPUTED_VALUE"""),"CEMEI LIGIA ARAUJO DE OLIVEIRA")</f>
        <v>CEMEI LIGIA ARAUJO DE OLIVEIRA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 spans="1:25">
      <c r="A27" s="36" t="str">
        <f t="shared" si="7"/>
        <v>REGIONAL 6</v>
      </c>
      <c r="B27" s="37" t="str">
        <f>IFERROR(__xludf.dummyfunction("""COMPUTED_VALUE"""),"23/03/2026 19:01:28")</f>
        <v>23/03/2026 19:01:28</v>
      </c>
      <c r="C27" s="38" t="str">
        <f>IFERROR(__xludf.dummyfunction("""COMPUTED_VALUE"""),"2")</f>
        <v>2</v>
      </c>
      <c r="D27" s="15" t="str">
        <f>IFERROR(__xludf.dummyfunction("""COMPUTED_VALUE"""),"L. S. S")</f>
        <v>L. S. S</v>
      </c>
      <c r="E27" s="39" t="str">
        <f>IFERROR(__xludf.dummyfunction("""COMPUTED_VALUE"""),"15/05/2024")</f>
        <v>15/05/2024</v>
      </c>
      <c r="F27" s="15" t="str">
        <f>IFERROR(__xludf.dummyfunction("""COMPUTED_VALUE"""),"003******82")</f>
        <v>003******82</v>
      </c>
      <c r="G27" s="15" t="str">
        <f>IFERROR(__xludf.dummyfunction("""COMPUTED_VALUE"""),"INFANTIL 1")</f>
        <v>INFANTIL 1</v>
      </c>
      <c r="H27" s="40" t="str">
        <f>IFERROR(__xludf.dummyfunction("""COMPUTED_VALUE"""),"CEMEI LIGIA ARAUJO DE OLIVEIRA")</f>
        <v>CEMEI LIGIA ARAUJO DE OLIVEIRA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 spans="1:25">
      <c r="A28" s="36" t="str">
        <f t="shared" si="7"/>
        <v>REGIONAL 6</v>
      </c>
      <c r="B28" s="37" t="str">
        <f>IFERROR(__xludf.dummyfunction("""COMPUTED_VALUE"""),"25/08/2026 13:04:30")</f>
        <v>25/08/2026 13:04:30</v>
      </c>
      <c r="C28" s="38" t="str">
        <f>IFERROR(__xludf.dummyfunction("""COMPUTED_VALUE"""),"3")</f>
        <v>3</v>
      </c>
      <c r="D28" s="15" t="str">
        <f>IFERROR(__xludf.dummyfunction("""COMPUTED_VALUE"""),"L. r. d. s. f")</f>
        <v>L. r. d. s. f</v>
      </c>
      <c r="E28" s="39" t="str">
        <f>IFERROR(__xludf.dummyfunction("""COMPUTED_VALUE"""),"26/12/2025")</f>
        <v>26/12/2025</v>
      </c>
      <c r="F28" s="15" t="str">
        <f>IFERROR(__xludf.dummyfunction("""COMPUTED_VALUE"""),"037******58")</f>
        <v>037******58</v>
      </c>
      <c r="G28" s="15" t="str">
        <f>IFERROR(__xludf.dummyfunction("""COMPUTED_VALUE"""),"INFANTIL 1")</f>
        <v>INFANTIL 1</v>
      </c>
      <c r="H28" s="40" t="str">
        <f>IFERROR(__xludf.dummyfunction("""COMPUTED_VALUE"""),"CEMEI LIGIA ARAUJO DE OLIVEIRA")</f>
        <v>CEMEI LIGIA ARAUJO DE OLIVEIRA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 spans="1:25">
      <c r="A29" s="36" t="str">
        <f t="shared" si="7"/>
        <v>REGIONAL 6</v>
      </c>
      <c r="B29" s="37" t="str">
        <f>IFERROR(__xludf.dummyfunction("""COMPUTED_VALUE"""),"29/08/2026 22:31:44")</f>
        <v>29/08/2026 22:31:44</v>
      </c>
      <c r="C29" s="38" t="str">
        <f>IFERROR(__xludf.dummyfunction("""COMPUTED_VALUE"""),"4")</f>
        <v>4</v>
      </c>
      <c r="D29" s="15" t="str">
        <f>IFERROR(__xludf.dummyfunction("""COMPUTED_VALUE"""),"B. A. S")</f>
        <v>B. A. S</v>
      </c>
      <c r="E29" s="39" t="str">
        <f>IFERROR(__xludf.dummyfunction("""COMPUTED_VALUE"""),"05/08/2025")</f>
        <v>05/08/2025</v>
      </c>
      <c r="F29" s="15" t="str">
        <f>IFERROR(__xludf.dummyfunction("""COMPUTED_VALUE"""),"007******70")</f>
        <v>007******70</v>
      </c>
      <c r="G29" s="15" t="str">
        <f>IFERROR(__xludf.dummyfunction("""COMPUTED_VALUE"""),"INFANTIL 1")</f>
        <v>INFANTIL 1</v>
      </c>
      <c r="H29" s="40" t="str">
        <f>IFERROR(__xludf.dummyfunction("""COMPUTED_VALUE"""),"CEMEI LIGIA ARAUJO DE OLIVEIRA")</f>
        <v>CEMEI LIGIA ARAUJO DE OLIVEIRA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 spans="1:25">
      <c r="A30" s="36" t="str">
        <f t="shared" si="7"/>
        <v>REGIONAL 6</v>
      </c>
      <c r="B30" s="37" t="str">
        <f>IFERROR(__xludf.dummyfunction("""COMPUTED_VALUE"""),"28/01/2026 08:07:40")</f>
        <v>28/01/2026 08:07:40</v>
      </c>
      <c r="C30" s="38" t="str">
        <f>IFERROR(__xludf.dummyfunction("""COMPUTED_VALUE"""),"1")</f>
        <v>1</v>
      </c>
      <c r="D30" s="15" t="str">
        <f>IFERROR(__xludf.dummyfunction("""COMPUTED_VALUE"""),"Í. M. E. D. S")</f>
        <v>Í. M. E. D. S</v>
      </c>
      <c r="E30" s="39" t="str">
        <f>IFERROR(__xludf.dummyfunction("""COMPUTED_VALUE"""),"19/08/2023")</f>
        <v>19/08/2023</v>
      </c>
      <c r="F30" s="15" t="str">
        <f>IFERROR(__xludf.dummyfunction("""COMPUTED_VALUE"""),"001******67")</f>
        <v>001******67</v>
      </c>
      <c r="G30" s="15" t="str">
        <f>IFERROR(__xludf.dummyfunction("""COMPUTED_VALUE"""),"INFANTIL 2")</f>
        <v>INFANTIL 2</v>
      </c>
      <c r="H30" s="40" t="str">
        <f>IFERROR(__xludf.dummyfunction("""COMPUTED_VALUE"""),"CEMEI LIGIA ARAUJO DE OLIVEIRA")</f>
        <v>CEMEI LIGIA ARAUJO DE OLIVEIRA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5.75" customHeight="1" spans="1:25">
      <c r="A31" s="36" t="str">
        <f t="shared" si="7"/>
        <v>REGIONAL 6</v>
      </c>
      <c r="B31" s="37" t="str">
        <f>IFERROR(__xludf.dummyfunction("""COMPUTED_VALUE"""),"29/01/2026 10:35:38")</f>
        <v>29/01/2026 10:35:38</v>
      </c>
      <c r="C31" s="38" t="str">
        <f>IFERROR(__xludf.dummyfunction("""COMPUTED_VALUE"""),"2")</f>
        <v>2</v>
      </c>
      <c r="D31" s="15" t="str">
        <f>IFERROR(__xludf.dummyfunction("""COMPUTED_VALUE"""),"O. H. L. L")</f>
        <v>O. H. L. L</v>
      </c>
      <c r="E31" s="39" t="str">
        <f>IFERROR(__xludf.dummyfunction("""COMPUTED_VALUE"""),"27/05/2023")</f>
        <v>27/05/2023</v>
      </c>
      <c r="F31" s="15" t="str">
        <f>IFERROR(__xludf.dummyfunction("""COMPUTED_VALUE"""),"185******18")</f>
        <v>185******18</v>
      </c>
      <c r="G31" s="15" t="str">
        <f>IFERROR(__xludf.dummyfunction("""COMPUTED_VALUE"""),"INFANTIL 2")</f>
        <v>INFANTIL 2</v>
      </c>
      <c r="H31" s="40" t="str">
        <f>IFERROR(__xludf.dummyfunction("""COMPUTED_VALUE"""),"CEMEI LIGIA ARAUJO DE OLIVEIRA")</f>
        <v>CEMEI LIGIA ARAUJO DE OLIVEIRA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5.75" customHeight="1" spans="1:25">
      <c r="A32" s="36" t="str">
        <f t="shared" si="7"/>
        <v>REGIONAL 6</v>
      </c>
      <c r="B32" s="37" t="str">
        <f>IFERROR(__xludf.dummyfunction("""COMPUTED_VALUE"""),"11/03/2026 10:19:05")</f>
        <v>11/03/2026 10:19:05</v>
      </c>
      <c r="C32" s="38" t="str">
        <f>IFERROR(__xludf.dummyfunction("""COMPUTED_VALUE"""),"3")</f>
        <v>3</v>
      </c>
      <c r="D32" s="15" t="str">
        <f>IFERROR(__xludf.dummyfunction("""COMPUTED_VALUE"""),"A. G. D. S. S")</f>
        <v>A. G. D. S. S</v>
      </c>
      <c r="E32" s="39" t="str">
        <f>IFERROR(__xludf.dummyfunction("""COMPUTED_VALUE"""),"30/12/2023")</f>
        <v>30/12/2023</v>
      </c>
      <c r="F32" s="15" t="str">
        <f>IFERROR(__xludf.dummyfunction("""COMPUTED_VALUE"""),"001******00")</f>
        <v>001******00</v>
      </c>
      <c r="G32" s="15" t="str">
        <f>IFERROR(__xludf.dummyfunction("""COMPUTED_VALUE"""),"INFANTIL 2")</f>
        <v>INFANTIL 2</v>
      </c>
      <c r="H32" s="40" t="str">
        <f>IFERROR(__xludf.dummyfunction("""COMPUTED_VALUE"""),"CEMEI LIGIA ARAUJO DE OLIVEIRA")</f>
        <v>CEMEI LIGIA ARAUJO DE OLIVEIRA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5.75" customHeight="1" spans="1:25">
      <c r="A33" s="36" t="str">
        <f t="shared" si="7"/>
        <v>REGIONAL 6</v>
      </c>
      <c r="B33" s="37" t="str">
        <f>IFERROR(__xludf.dummyfunction("""COMPUTED_VALUE"""),"20/04/2026 12:53:45")</f>
        <v>20/04/2026 12:53:45</v>
      </c>
      <c r="C33" s="38" t="str">
        <f>IFERROR(__xludf.dummyfunction("""COMPUTED_VALUE"""),"4")</f>
        <v>4</v>
      </c>
      <c r="D33" s="15" t="str">
        <f>IFERROR(__xludf.dummyfunction("""COMPUTED_VALUE"""),"I. M. D. D. S")</f>
        <v>I. M. D. D. S</v>
      </c>
      <c r="E33" s="39" t="str">
        <f>IFERROR(__xludf.dummyfunction("""COMPUTED_VALUE"""),"02/05/2023")</f>
        <v>02/05/2023</v>
      </c>
      <c r="F33" s="15" t="str">
        <f>IFERROR(__xludf.dummyfunction("""COMPUTED_VALUE"""),"166******37")</f>
        <v>166******37</v>
      </c>
      <c r="G33" s="15" t="str">
        <f>IFERROR(__xludf.dummyfunction("""COMPUTED_VALUE"""),"INFANTIL 2")</f>
        <v>INFANTIL 2</v>
      </c>
      <c r="H33" s="40" t="str">
        <f>IFERROR(__xludf.dummyfunction("""COMPUTED_VALUE"""),"CEMEI LIGIA ARAUJO DE OLIVEIRA")</f>
        <v>CEMEI LIGIA ARAUJO DE OLIVEIRA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5.75" customHeight="1" spans="1:25">
      <c r="A34" s="36" t="str">
        <f t="shared" si="7"/>
        <v>REGIONAL 6</v>
      </c>
      <c r="B34" s="37" t="str">
        <f>IFERROR(__xludf.dummyfunction("""COMPUTED_VALUE"""),"08/05/2026 07:30:21")</f>
        <v>08/05/2026 07:30:21</v>
      </c>
      <c r="C34" s="38" t="str">
        <f>IFERROR(__xludf.dummyfunction("""COMPUTED_VALUE"""),"5")</f>
        <v>5</v>
      </c>
      <c r="D34" s="15" t="str">
        <f>IFERROR(__xludf.dummyfunction("""COMPUTED_VALUE"""),"H. G. M. D. S")</f>
        <v>H. G. M. D. S</v>
      </c>
      <c r="E34" s="39" t="str">
        <f>IFERROR(__xludf.dummyfunction("""COMPUTED_VALUE"""),"20/05/2023")</f>
        <v>20/05/2023</v>
      </c>
      <c r="F34" s="15" t="str">
        <f>IFERROR(__xludf.dummyfunction("""COMPUTED_VALUE"""),"185******29")</f>
        <v>185******29</v>
      </c>
      <c r="G34" s="15" t="str">
        <f>IFERROR(__xludf.dummyfunction("""COMPUTED_VALUE"""),"INFANTIL 2")</f>
        <v>INFANTIL 2</v>
      </c>
      <c r="H34" s="40" t="str">
        <f>IFERROR(__xludf.dummyfunction("""COMPUTED_VALUE"""),"CEMEI LIGIA ARAUJO DE OLIVEIRA")</f>
        <v>CEMEI LIGIA ARAUJO DE OLIVEIRA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5.75" customHeight="1" spans="1:25">
      <c r="A35" s="36" t="str">
        <f t="shared" si="7"/>
        <v>REGIONAL 6</v>
      </c>
      <c r="B35" s="37" t="str">
        <f>IFERROR(__xludf.dummyfunction("""COMPUTED_VALUE"""),"10/06/2026 09:35:26")</f>
        <v>10/06/2026 09:35:26</v>
      </c>
      <c r="C35" s="38" t="str">
        <f>IFERROR(__xludf.dummyfunction("""COMPUTED_VALUE"""),"6")</f>
        <v>6</v>
      </c>
      <c r="D35" s="15" t="str">
        <f>IFERROR(__xludf.dummyfunction("""COMPUTED_VALUE"""),"H. L. P. D. S")</f>
        <v>H. L. P. D. S</v>
      </c>
      <c r="E35" s="39" t="str">
        <f>IFERROR(__xludf.dummyfunction("""COMPUTED_VALUE"""),"22/06/2023")</f>
        <v>22/06/2023</v>
      </c>
      <c r="F35" s="15" t="str">
        <f>IFERROR(__xludf.dummyfunction("""COMPUTED_VALUE"""),"035******53")</f>
        <v>035******53</v>
      </c>
      <c r="G35" s="15" t="str">
        <f>IFERROR(__xludf.dummyfunction("""COMPUTED_VALUE"""),"INFANTIL 2")</f>
        <v>INFANTIL 2</v>
      </c>
      <c r="H35" s="40" t="str">
        <f>IFERROR(__xludf.dummyfunction("""COMPUTED_VALUE"""),"CEMEI LIGIA ARAUJO DE OLIVEIRA")</f>
        <v>CEMEI LIGIA ARAUJO DE OLIVEIRA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5.75" customHeight="1" spans="1:25">
      <c r="A36" s="36" t="str">
        <f t="shared" si="7"/>
        <v>REGIONAL 6</v>
      </c>
      <c r="B36" s="15" t="str">
        <f>IFERROR(__xludf.dummyfunction("""COMPUTED_VALUE"""),"03/02/2026 14:12:28")</f>
        <v>03/02/2026 14:12:28</v>
      </c>
      <c r="C36" s="38" t="str">
        <f>IFERROR(__xludf.dummyfunction("""COMPUTED_VALUE"""),"1")</f>
        <v>1</v>
      </c>
      <c r="D36" s="15" t="str">
        <f>IFERROR(__xludf.dummyfunction("""COMPUTED_VALUE"""),"A. F. D. S")</f>
        <v>A. F. D. S</v>
      </c>
      <c r="E36" s="15" t="str">
        <f>IFERROR(__xludf.dummyfunction("""COMPUTED_VALUE"""),"22/11/2022")</f>
        <v>22/11/2022</v>
      </c>
      <c r="F36" s="15" t="str">
        <f>IFERROR(__xludf.dummyfunction("""COMPUTED_VALUE"""),"183******05")</f>
        <v>183******05</v>
      </c>
      <c r="G36" s="15" t="str">
        <f>IFERROR(__xludf.dummyfunction("""COMPUTED_VALUE"""),"INFANTIL 3")</f>
        <v>INFANTIL 3</v>
      </c>
      <c r="H36" s="40" t="str">
        <f>IFERROR(__xludf.dummyfunction("""COMPUTED_VALUE"""),"CEMEI LIGIA ARAUJO DE OLIVEIRA")</f>
        <v>CEMEI LIGIA ARAUJO DE OLIVEIRA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5.75" customHeight="1" spans="1:25">
      <c r="A37" s="36" t="str">
        <f t="shared" si="7"/>
        <v>REGIONAL 6</v>
      </c>
      <c r="B37" s="15" t="str">
        <f>IFERROR(__xludf.dummyfunction("""COMPUTED_VALUE"""),"03/02/2026 14:18:57")</f>
        <v>03/02/2026 14:18:57</v>
      </c>
      <c r="C37" s="38" t="str">
        <f>IFERROR(__xludf.dummyfunction("""COMPUTED_VALUE"""),"2")</f>
        <v>2</v>
      </c>
      <c r="D37" s="15" t="str">
        <f>IFERROR(__xludf.dummyfunction("""COMPUTED_VALUE"""),"A. F. D. S")</f>
        <v>A. F. D. S</v>
      </c>
      <c r="E37" s="15" t="str">
        <f>IFERROR(__xludf.dummyfunction("""COMPUTED_VALUE"""),"22/11/2022")</f>
        <v>22/11/2022</v>
      </c>
      <c r="F37" s="15" t="str">
        <f>IFERROR(__xludf.dummyfunction("""COMPUTED_VALUE"""),"183******11")</f>
        <v>183******11</v>
      </c>
      <c r="G37" s="15" t="str">
        <f>IFERROR(__xludf.dummyfunction("""COMPUTED_VALUE"""),"INFANTIL 3")</f>
        <v>INFANTIL 3</v>
      </c>
      <c r="H37" s="40" t="str">
        <f>IFERROR(__xludf.dummyfunction("""COMPUTED_VALUE"""),"CEMEI LIGIA ARAUJO DE OLIVEIRA")</f>
        <v>CEMEI LIGIA ARAUJO DE OLIVEIRA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5.75" customHeight="1" spans="1:25">
      <c r="A38" s="36" t="str">
        <f t="shared" si="7"/>
        <v>REGIONAL 6</v>
      </c>
      <c r="B38" s="15" t="str">
        <f>IFERROR(__xludf.dummyfunction("""COMPUTED_VALUE"""),"23/02/2026 20:39:24")</f>
        <v>23/02/2026 20:39:24</v>
      </c>
      <c r="C38" s="38" t="str">
        <f>IFERROR(__xludf.dummyfunction("""COMPUTED_VALUE"""),"3")</f>
        <v>3</v>
      </c>
      <c r="D38" s="15" t="str">
        <f>IFERROR(__xludf.dummyfunction("""COMPUTED_VALUE"""),"A. E. P. D. S")</f>
        <v>A. E. P. D. S</v>
      </c>
      <c r="E38" s="15" t="str">
        <f>IFERROR(__xludf.dummyfunction("""COMPUTED_VALUE"""),"31/08/2022")</f>
        <v>31/08/2022</v>
      </c>
      <c r="F38" s="15" t="str">
        <f>IFERROR(__xludf.dummyfunction("""COMPUTED_VALUE"""),"182******05")</f>
        <v>182******05</v>
      </c>
      <c r="G38" s="15" t="str">
        <f>IFERROR(__xludf.dummyfunction("""COMPUTED_VALUE"""),"INFANTIL 3")</f>
        <v>INFANTIL 3</v>
      </c>
      <c r="H38" s="40" t="str">
        <f>IFERROR(__xludf.dummyfunction("""COMPUTED_VALUE"""),"CEMEI LIGIA ARAUJO DE OLIVEIRA")</f>
        <v>CEMEI LIGIA ARAUJO DE OLIVEIRA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5.75" customHeight="1" spans="1:25">
      <c r="A39" s="36" t="str">
        <f t="shared" si="7"/>
        <v>REGIONAL 6</v>
      </c>
      <c r="B39" s="15" t="str">
        <f>IFERROR(__xludf.dummyfunction("""COMPUTED_VALUE"""),"11/08/2026 13:20:40")</f>
        <v>11/08/2026 13:20:40</v>
      </c>
      <c r="C39" s="38" t="str">
        <f>IFERROR(__xludf.dummyfunction("""COMPUTED_VALUE"""),"4")</f>
        <v>4</v>
      </c>
      <c r="D39" s="15" t="str">
        <f>IFERROR(__xludf.dummyfunction("""COMPUTED_VALUE"""),"K. H. d. S")</f>
        <v>K. H. d. S</v>
      </c>
      <c r="E39" s="15" t="str">
        <f>IFERROR(__xludf.dummyfunction("""COMPUTED_VALUE"""),"09/03/2023")</f>
        <v>09/03/2023</v>
      </c>
      <c r="F39" s="15" t="str">
        <f>IFERROR(__xludf.dummyfunction("""COMPUTED_VALUE"""),"184******13")</f>
        <v>184******13</v>
      </c>
      <c r="G39" s="15" t="str">
        <f>IFERROR(__xludf.dummyfunction("""COMPUTED_VALUE"""),"INFANTIL 3")</f>
        <v>INFANTIL 3</v>
      </c>
      <c r="H39" s="40" t="str">
        <f>IFERROR(__xludf.dummyfunction("""COMPUTED_VALUE"""),"CEMEI LIGIA ARAUJO DE OLIVEIRA")</f>
        <v>CEMEI LIGIA ARAUJO DE OLIVEIRA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5.75" customHeight="1" spans="1:25">
      <c r="A40" s="36" t="str">
        <f t="shared" si="7"/>
        <v>REGIONAL 6</v>
      </c>
      <c r="B40" s="15" t="str">
        <f>IFERROR(__xludf.dummyfunction("""COMPUTED_VALUE"""),"24/02/2026 14:04:38")</f>
        <v>24/02/2026 14:04:38</v>
      </c>
      <c r="C40" s="38" t="str">
        <f>IFERROR(__xludf.dummyfunction("""COMPUTED_VALUE"""),"1")</f>
        <v>1</v>
      </c>
      <c r="D40" s="15" t="str">
        <f>IFERROR(__xludf.dummyfunction("""COMPUTED_VALUE"""),"J. M. F. D. S")</f>
        <v>J. M. F. D. S</v>
      </c>
      <c r="E40" s="15" t="str">
        <f>IFERROR(__xludf.dummyfunction("""COMPUTED_VALUE"""),"01/11/2022")</f>
        <v>01/11/2022</v>
      </c>
      <c r="F40" s="15" t="str">
        <f>IFERROR(__xludf.dummyfunction("""COMPUTED_VALUE"""),"185******30")</f>
        <v>185******30</v>
      </c>
      <c r="G40" s="15" t="str">
        <f>IFERROR(__xludf.dummyfunction("""COMPUTED_VALUE"""),"INFANTIL 3")</f>
        <v>INFANTIL 3</v>
      </c>
      <c r="H40" s="40" t="str">
        <f>IFERROR(__xludf.dummyfunction("""COMPUTED_VALUE"""),"CEMEI PROFESSORA MARLUCIA EVANGELISTA DE SOUZA")</f>
        <v>CEMEI PROFESSORA MARLUCIA EVANGELISTA DE SOUZA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5.75" customHeight="1" spans="1:25">
      <c r="A41" s="36" t="str">
        <f t="shared" si="7"/>
        <v>REGIONAL 6</v>
      </c>
      <c r="B41" s="15" t="str">
        <f>IFERROR(__xludf.dummyfunction("""COMPUTED_VALUE"""),"26/03/2026 11:14:13")</f>
        <v>26/03/2026 11:14:13</v>
      </c>
      <c r="C41" s="38" t="str">
        <f>IFERROR(__xludf.dummyfunction("""COMPUTED_VALUE"""),"2")</f>
        <v>2</v>
      </c>
      <c r="D41" s="15" t="str">
        <f>IFERROR(__xludf.dummyfunction("""COMPUTED_VALUE"""),"E. G. M. D. N")</f>
        <v>E. G. M. D. N</v>
      </c>
      <c r="E41" s="15" t="str">
        <f>IFERROR(__xludf.dummyfunction("""COMPUTED_VALUE"""),"19/11/2022")</f>
        <v>19/11/2022</v>
      </c>
      <c r="F41" s="15" t="str">
        <f>IFERROR(__xludf.dummyfunction("""COMPUTED_VALUE"""),"183******10")</f>
        <v>183******10</v>
      </c>
      <c r="G41" s="15" t="str">
        <f>IFERROR(__xludf.dummyfunction("""COMPUTED_VALUE"""),"INFANTIL 3")</f>
        <v>INFANTIL 3</v>
      </c>
      <c r="H41" s="40" t="str">
        <f>IFERROR(__xludf.dummyfunction("""COMPUTED_VALUE"""),"CEMEI PROFESSORA MARLUCIA EVANGELISTA DE SOUZA")</f>
        <v>CEMEI PROFESSORA MARLUCIA EVANGELISTA DE SOUZA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5.75" customHeight="1" spans="1:25">
      <c r="A42" s="36" t="str">
        <f t="shared" si="7"/>
        <v>REGIONAL 6</v>
      </c>
      <c r="B42" s="15" t="str">
        <f>IFERROR(__xludf.dummyfunction("""COMPUTED_VALUE"""),"27/03/2026 08:54:52")</f>
        <v>27/03/2026 08:54:52</v>
      </c>
      <c r="C42" s="38" t="str">
        <f>IFERROR(__xludf.dummyfunction("""COMPUTED_VALUE"""),"3")</f>
        <v>3</v>
      </c>
      <c r="D42" s="15" t="str">
        <f>IFERROR(__xludf.dummyfunction("""COMPUTED_VALUE"""),"M. H. D. S. L")</f>
        <v>M. H. D. S. L</v>
      </c>
      <c r="E42" s="15" t="str">
        <f>IFERROR(__xludf.dummyfunction("""COMPUTED_VALUE"""),"11/05/2022")</f>
        <v>11/05/2022</v>
      </c>
      <c r="F42" s="15" t="str">
        <f>IFERROR(__xludf.dummyfunction("""COMPUTED_VALUE"""),"183******63")</f>
        <v>183******63</v>
      </c>
      <c r="G42" s="15" t="str">
        <f>IFERROR(__xludf.dummyfunction("""COMPUTED_VALUE"""),"INFANTIL 3")</f>
        <v>INFANTIL 3</v>
      </c>
      <c r="H42" s="15" t="str">
        <f>IFERROR(__xludf.dummyfunction("""COMPUTED_VALUE"""),"CEMEI PROFESSORA MARLUCIA EVANGELISTA DE SOUZA")</f>
        <v>CEMEI PROFESSORA MARLUCIA EVANGELISTA DE SOUZA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5.75" customHeight="1" spans="1:25">
      <c r="A43" s="36" t="str">
        <f t="shared" si="7"/>
        <v>REGIONAL 6</v>
      </c>
      <c r="B43" s="15" t="str">
        <f>IFERROR(__xludf.dummyfunction("""COMPUTED_VALUE"""),"09/06/2026 13:23:26")</f>
        <v>09/06/2026 13:23:26</v>
      </c>
      <c r="C43" s="38" t="str">
        <f>IFERROR(__xludf.dummyfunction("""COMPUTED_VALUE"""),"4")</f>
        <v>4</v>
      </c>
      <c r="D43" s="15" t="str">
        <f>IFERROR(__xludf.dummyfunction("""COMPUTED_VALUE"""),"M. C. L. d. S")</f>
        <v>M. C. L. d. S</v>
      </c>
      <c r="E43" s="15" t="str">
        <f>IFERROR(__xludf.dummyfunction("""COMPUTED_VALUE"""),"04/01/2023")</f>
        <v>04/01/2023</v>
      </c>
      <c r="F43" s="15" t="str">
        <f>IFERROR(__xludf.dummyfunction("""COMPUTED_VALUE"""),"184******58")</f>
        <v>184******58</v>
      </c>
      <c r="G43" s="15" t="str">
        <f>IFERROR(__xludf.dummyfunction("""COMPUTED_VALUE"""),"INFANTIL 3")</f>
        <v>INFANTIL 3</v>
      </c>
      <c r="H43" s="15" t="str">
        <f>IFERROR(__xludf.dummyfunction("""COMPUTED_VALUE"""),"CEMEI PROFESSORA MARLUCIA EVANGELISTA DE SOUZA")</f>
        <v>CEMEI PROFESSORA MARLUCIA EVANGELISTA DE SOUZA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5.75" customHeight="1" spans="1:25">
      <c r="A44" s="36" t="str">
        <f t="shared" si="7"/>
        <v>REGIONAL 6</v>
      </c>
      <c r="B44" s="15" t="str">
        <f>IFERROR(__xludf.dummyfunction("""COMPUTED_VALUE"""),"25/08/2026 12:01:52")</f>
        <v>25/08/2026 12:01:52</v>
      </c>
      <c r="C44" s="38" t="str">
        <f>IFERROR(__xludf.dummyfunction("""COMPUTED_VALUE"""),"5")</f>
        <v>5</v>
      </c>
      <c r="D44" s="15" t="str">
        <f>IFERROR(__xludf.dummyfunction("""COMPUTED_VALUE"""),"M. J. d. S. f")</f>
        <v>M. J. d. S. f</v>
      </c>
      <c r="E44" s="15" t="str">
        <f>IFERROR(__xludf.dummyfunction("""COMPUTED_VALUE"""),"17/08/2022")</f>
        <v>17/08/2022</v>
      </c>
      <c r="F44" s="15" t="str">
        <f>IFERROR(__xludf.dummyfunction("""COMPUTED_VALUE"""),"183******07")</f>
        <v>183******07</v>
      </c>
      <c r="G44" s="15" t="str">
        <f>IFERROR(__xludf.dummyfunction("""COMPUTED_VALUE"""),"INFANTIL 3")</f>
        <v>INFANTIL 3</v>
      </c>
      <c r="H44" s="15" t="str">
        <f>IFERROR(__xludf.dummyfunction("""COMPUTED_VALUE"""),"CEMEI PROFESSORA MARLUCIA EVANGELISTA DE SOUZA")</f>
        <v>CEMEI PROFESSORA MARLUCIA EVANGELISTA DE SOUZA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5.75" customHeight="1" spans="1:25">
      <c r="A45" s="36" t="str">
        <f t="shared" si="7"/>
        <v>REGIONAL 6</v>
      </c>
      <c r="B45" s="15" t="str">
        <f>IFERROR(__xludf.dummyfunction("""COMPUTED_VALUE"""),"31/03/2026 08:33:16")</f>
        <v>31/03/2026 08:33:16</v>
      </c>
      <c r="C45" s="38" t="str">
        <f>IFERROR(__xludf.dummyfunction("""COMPUTED_VALUE"""),"1")</f>
        <v>1</v>
      </c>
      <c r="D45" s="15" t="str">
        <f>IFERROR(__xludf.dummyfunction("""COMPUTED_VALUE"""),"A. G. B. D. N")</f>
        <v>A. G. B. D. N</v>
      </c>
      <c r="E45" s="15" t="str">
        <f>IFERROR(__xludf.dummyfunction("""COMPUTED_VALUE"""),"03/02/2023")</f>
        <v>03/02/2023</v>
      </c>
      <c r="F45" s="15" t="str">
        <f>IFERROR(__xludf.dummyfunction("""COMPUTED_VALUE"""),"184******02")</f>
        <v>184******02</v>
      </c>
      <c r="G45" s="15" t="str">
        <f>IFERROR(__xludf.dummyfunction("""COMPUTED_VALUE"""),"INFANTIL 3")</f>
        <v>INFANTIL 3</v>
      </c>
      <c r="H45" s="15" t="str">
        <f>IFERROR(__xludf.dummyfunction("""COMPUTED_VALUE"""),"CEMEI PROFESSORA MARLUCIA EVANGELISTA DE SOUZA")</f>
        <v>CEMEI PROFESSORA MARLUCIA EVANGELISTA DE SOUZA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5.75" customHeight="1" spans="1:25">
      <c r="A46" s="36" t="str">
        <f t="shared" si="7"/>
        <v>REGIONAL 6</v>
      </c>
      <c r="B46" s="15" t="str">
        <f>IFERROR(__xludf.dummyfunction("""COMPUTED_VALUE"""),"17/03/2026 11:53:45")</f>
        <v>17/03/2026 11:53:45</v>
      </c>
      <c r="C46" s="38" t="str">
        <f>IFERROR(__xludf.dummyfunction("""COMPUTED_VALUE"""),"1")</f>
        <v>1</v>
      </c>
      <c r="D46" s="15" t="str">
        <f>IFERROR(__xludf.dummyfunction("""COMPUTED_VALUE"""),"S. B. D. S")</f>
        <v>S. B. D. S</v>
      </c>
      <c r="E46" s="15" t="str">
        <f>IFERROR(__xludf.dummyfunction("""COMPUTED_VALUE"""),"09/04/2025")</f>
        <v>09/04/2025</v>
      </c>
      <c r="F46" s="15" t="str">
        <f>IFERROR(__xludf.dummyfunction("""COMPUTED_VALUE"""),"005******50")</f>
        <v>005******50</v>
      </c>
      <c r="G46" s="15" t="str">
        <f>IFERROR(__xludf.dummyfunction("""COMPUTED_VALUE"""),"INFANTIL 1")</f>
        <v>INFANTIL 1</v>
      </c>
      <c r="H46" s="15" t="str">
        <f>IFERROR(__xludf.dummyfunction("""COMPUTED_VALUE"""),"CEMEI PROFESSORA RAKELLY NOGUEIRA DO NASCIMENTO")</f>
        <v>CEMEI PROFESSORA RAKELLY NOGUEIRA DO NASCIMENTO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5.75" customHeight="1" spans="1:25">
      <c r="A47" s="36" t="str">
        <f t="shared" si="7"/>
        <v>REGIONAL 6</v>
      </c>
      <c r="B47" s="15" t="str">
        <f>IFERROR(__xludf.dummyfunction("""COMPUTED_VALUE"""),"22/05/2026 09:50:12")</f>
        <v>22/05/2026 09:50:12</v>
      </c>
      <c r="C47" s="38" t="str">
        <f>IFERROR(__xludf.dummyfunction("""COMPUTED_VALUE"""),"2")</f>
        <v>2</v>
      </c>
      <c r="D47" s="15" t="str">
        <f>IFERROR(__xludf.dummyfunction("""COMPUTED_VALUE"""),"T. V. G. d. S")</f>
        <v>T. V. G. d. S</v>
      </c>
      <c r="E47" s="15" t="str">
        <f>IFERROR(__xludf.dummyfunction("""COMPUTED_VALUE"""),"28/06/2025")</f>
        <v>28/06/2025</v>
      </c>
      <c r="F47" s="15" t="str">
        <f>IFERROR(__xludf.dummyfunction("""COMPUTED_VALUE"""),"006******61")</f>
        <v>006******61</v>
      </c>
      <c r="G47" s="15" t="str">
        <f>IFERROR(__xludf.dummyfunction("""COMPUTED_VALUE"""),"INFANTIL 1")</f>
        <v>INFANTIL 1</v>
      </c>
      <c r="H47" s="15" t="str">
        <f>IFERROR(__xludf.dummyfunction("""COMPUTED_VALUE"""),"CEMEI PROFESSORA RAKELLY NOGUEIRA DO NASCIMENTO")</f>
        <v>CEMEI PROFESSORA RAKELLY NOGUEIRA DO NASCIMENTO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5.75" customHeight="1" spans="1:25">
      <c r="A48" s="36" t="str">
        <f t="shared" si="7"/>
        <v>REGIONAL 6</v>
      </c>
      <c r="B48" s="15" t="str">
        <f>IFERROR(__xludf.dummyfunction("""COMPUTED_VALUE"""),"02/09/2026 08:28:02")</f>
        <v>02/09/2026 08:28:02</v>
      </c>
      <c r="C48" s="38" t="str">
        <f>IFERROR(__xludf.dummyfunction("""COMPUTED_VALUE"""),"3")</f>
        <v>3</v>
      </c>
      <c r="D48" s="15" t="str">
        <f>IFERROR(__xludf.dummyfunction("""COMPUTED_VALUE"""),"M. M. d. S. A")</f>
        <v>M. M. d. S. A</v>
      </c>
      <c r="E48" s="15" t="str">
        <f>IFERROR(__xludf.dummyfunction("""COMPUTED_VALUE"""),"22/04/2025")</f>
        <v>22/04/2025</v>
      </c>
      <c r="F48" s="15" t="str">
        <f>IFERROR(__xludf.dummyfunction("""COMPUTED_VALUE"""),"006******96")</f>
        <v>006******96</v>
      </c>
      <c r="G48" s="15" t="str">
        <f>IFERROR(__xludf.dummyfunction("""COMPUTED_VALUE"""),"INFANTIL 1")</f>
        <v>INFANTIL 1</v>
      </c>
      <c r="H48" s="15" t="str">
        <f>IFERROR(__xludf.dummyfunction("""COMPUTED_VALUE"""),"CEMEI PROFESSORA RAKELLY NOGUEIRA DO NASCIMENTO")</f>
        <v>CEMEI PROFESSORA RAKELLY NOGUEIRA DO NASCIMENTO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5.75" customHeight="1" spans="1:25">
      <c r="A49" s="36" t="str">
        <f t="shared" si="7"/>
        <v>REGIONAL 6</v>
      </c>
      <c r="B49" s="15" t="str">
        <f>IFERROR(__xludf.dummyfunction("""COMPUTED_VALUE"""),"22/09/2026 12:40:29")</f>
        <v>22/09/2026 12:40:29</v>
      </c>
      <c r="C49" s="38" t="str">
        <f>IFERROR(__xludf.dummyfunction("""COMPUTED_VALUE"""),"4")</f>
        <v>4</v>
      </c>
      <c r="D49" s="15" t="str">
        <f>IFERROR(__xludf.dummyfunction("""COMPUTED_VALUE"""),"D. V. F. d. M. A")</f>
        <v>D. V. F. d. M. A</v>
      </c>
      <c r="E49" s="15" t="str">
        <f>IFERROR(__xludf.dummyfunction("""COMPUTED_VALUE"""),"03/07/2025")</f>
        <v>03/07/2025</v>
      </c>
      <c r="F49" s="15" t="str">
        <f>IFERROR(__xludf.dummyfunction("""COMPUTED_VALUE"""),"006******85")</f>
        <v>006******85</v>
      </c>
      <c r="G49" s="15" t="str">
        <f>IFERROR(__xludf.dummyfunction("""COMPUTED_VALUE"""),"INFANTIL 1")</f>
        <v>INFANTIL 1</v>
      </c>
      <c r="H49" s="15" t="str">
        <f>IFERROR(__xludf.dummyfunction("""COMPUTED_VALUE"""),"CEMEI PROFESSORA RAKELLY NOGUEIRA DO NASCIMENTO")</f>
        <v>CEMEI PROFESSORA RAKELLY NOGUEIRA DO NASCIMENTO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5.75" customHeight="1" spans="1:25">
      <c r="A50" s="36" t="str">
        <f t="shared" si="7"/>
        <v>REGIONAL 6</v>
      </c>
      <c r="B50" s="15" t="str">
        <f>IFERROR(__xludf.dummyfunction("""COMPUTED_VALUE"""),"24/09/2026 07:34:28")</f>
        <v>24/09/2026 07:34:28</v>
      </c>
      <c r="C50" s="38" t="str">
        <f>IFERROR(__xludf.dummyfunction("""COMPUTED_VALUE"""),"5")</f>
        <v>5</v>
      </c>
      <c r="D50" s="15" t="str">
        <f>IFERROR(__xludf.dummyfunction("""COMPUTED_VALUE"""),"A. L. S. d. C")</f>
        <v>A. L. S. d. C</v>
      </c>
      <c r="E50" s="15" t="str">
        <f>IFERROR(__xludf.dummyfunction("""COMPUTED_VALUE"""),"10/09/2024")</f>
        <v>10/09/2024</v>
      </c>
      <c r="F50" s="15" t="str">
        <f>IFERROR(__xludf.dummyfunction("""COMPUTED_VALUE"""),"004******78")</f>
        <v>004******78</v>
      </c>
      <c r="G50" s="15" t="str">
        <f>IFERROR(__xludf.dummyfunction("""COMPUTED_VALUE"""),"INFANTIL 1")</f>
        <v>INFANTIL 1</v>
      </c>
      <c r="H50" s="15" t="str">
        <f>IFERROR(__xludf.dummyfunction("""COMPUTED_VALUE"""),"CEMEI PROFESSORA RAKELLY NOGUEIRA DO NASCIMENTO")</f>
        <v>CEMEI PROFESSORA RAKELLY NOGUEIRA DO NASCIMENTO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5.75" customHeight="1" spans="1:25">
      <c r="A51" s="36" t="str">
        <f t="shared" si="7"/>
        <v>REGIONAL 6</v>
      </c>
      <c r="B51" s="15" t="str">
        <f>IFERROR(__xludf.dummyfunction("""COMPUTED_VALUE"""),"24/09/2026 10:12:12")</f>
        <v>24/09/2026 10:12:12</v>
      </c>
      <c r="C51" s="38" t="str">
        <f>IFERROR(__xludf.dummyfunction("""COMPUTED_VALUE"""),"6")</f>
        <v>6</v>
      </c>
      <c r="D51" s="15" t="str">
        <f>IFERROR(__xludf.dummyfunction("""COMPUTED_VALUE"""),"I. S. A. N")</f>
        <v>I. S. A. N</v>
      </c>
      <c r="E51" s="15" t="str">
        <f>IFERROR(__xludf.dummyfunction("""COMPUTED_VALUE"""),"01/10/2024")</f>
        <v>01/10/2024</v>
      </c>
      <c r="F51" s="15" t="str">
        <f>IFERROR(__xludf.dummyfunction("""COMPUTED_VALUE"""),"004******12")</f>
        <v>004******12</v>
      </c>
      <c r="G51" s="15" t="str">
        <f>IFERROR(__xludf.dummyfunction("""COMPUTED_VALUE"""),"INFANTIL 1")</f>
        <v>INFANTIL 1</v>
      </c>
      <c r="H51" s="15" t="str">
        <f>IFERROR(__xludf.dummyfunction("""COMPUTED_VALUE"""),"CEMEI PROFESSORA RAKELLY NOGUEIRA DO NASCIMENTO")</f>
        <v>CEMEI PROFESSORA RAKELLY NOGUEIRA DO NASCIMENTO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5.75" customHeight="1" spans="1:25">
      <c r="A52" s="36" t="str">
        <f t="shared" si="7"/>
        <v>REGIONAL 6</v>
      </c>
      <c r="B52" s="15" t="str">
        <f>IFERROR(__xludf.dummyfunction("""COMPUTED_VALUE"""),"27/07/2026 10:15:30")</f>
        <v>27/07/2026 10:15:30</v>
      </c>
      <c r="C52" s="38" t="str">
        <f>IFERROR(__xludf.dummyfunction("""COMPUTED_VALUE"""),"1")</f>
        <v>1</v>
      </c>
      <c r="D52" s="15" t="str">
        <f>IFERROR(__xludf.dummyfunction("""COMPUTED_VALUE"""),"R. S. S. D. S")</f>
        <v>R. S. S. D. S</v>
      </c>
      <c r="E52" s="15" t="str">
        <f>IFERROR(__xludf.dummyfunction("""COMPUTED_VALUE"""),"24/09/2023")</f>
        <v>24/09/2023</v>
      </c>
      <c r="F52" s="15" t="str">
        <f>IFERROR(__xludf.dummyfunction("""COMPUTED_VALUE"""),"000******67")</f>
        <v>000******67</v>
      </c>
      <c r="G52" s="15" t="str">
        <f>IFERROR(__xludf.dummyfunction("""COMPUTED_VALUE"""),"INFANTIL 2")</f>
        <v>INFANTIL 2</v>
      </c>
      <c r="H52" s="15" t="str">
        <f>IFERROR(__xludf.dummyfunction("""COMPUTED_VALUE"""),"CEMEI PROFESSORA RAKELLY NOGUEIRA DO NASCIMENTO")</f>
        <v>CEMEI PROFESSORA RAKELLY NOGUEIRA DO NASCIMENTO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5.75" customHeight="1" spans="1:25">
      <c r="A53" s="36" t="str">
        <f t="shared" si="7"/>
        <v>REGIONAL 6</v>
      </c>
      <c r="B53" s="15" t="str">
        <f>IFERROR(__xludf.dummyfunction("""COMPUTED_VALUE"""),"07/08/2026 13:26:09")</f>
        <v>07/08/2026 13:26:09</v>
      </c>
      <c r="C53" s="38" t="str">
        <f>IFERROR(__xludf.dummyfunction("""COMPUTED_VALUE"""),"2")</f>
        <v>2</v>
      </c>
      <c r="D53" s="15" t="str">
        <f>IFERROR(__xludf.dummyfunction("""COMPUTED_VALUE"""),"D. S. C")</f>
        <v>D. S. C</v>
      </c>
      <c r="E53" s="15" t="str">
        <f>IFERROR(__xludf.dummyfunction("""COMPUTED_VALUE"""),"08/02/2024")</f>
        <v>08/02/2024</v>
      </c>
      <c r="F53" s="15" t="str">
        <f>IFERROR(__xludf.dummyfunction("""COMPUTED_VALUE"""),"005******31")</f>
        <v>005******31</v>
      </c>
      <c r="G53" s="15" t="str">
        <f>IFERROR(__xludf.dummyfunction("""COMPUTED_VALUE"""),"INFANTIL 2")</f>
        <v>INFANTIL 2</v>
      </c>
      <c r="H53" s="15" t="str">
        <f>IFERROR(__xludf.dummyfunction("""COMPUTED_VALUE"""),"CEMEI PROFESSORA RAKELLY NOGUEIRA DO NASCIMENTO")</f>
        <v>CEMEI PROFESSORA RAKELLY NOGUEIRA DO NASCIMENTO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5.75" customHeight="1" spans="1:25">
      <c r="A54" s="36" t="str">
        <f t="shared" si="7"/>
        <v>REGIONAL 6</v>
      </c>
      <c r="B54" s="15" t="str">
        <f>IFERROR(__xludf.dummyfunction("""COMPUTED_VALUE"""),"10/09/2026 11:00:55")</f>
        <v>10/09/2026 11:00:55</v>
      </c>
      <c r="C54" s="38" t="str">
        <f>IFERROR(__xludf.dummyfunction("""COMPUTED_VALUE"""),"3")</f>
        <v>3</v>
      </c>
      <c r="D54" s="15" t="str">
        <f>IFERROR(__xludf.dummyfunction("""COMPUTED_VALUE"""),"H. S. d. S")</f>
        <v>H. S. d. S</v>
      </c>
      <c r="E54" s="15" t="str">
        <f>IFERROR(__xludf.dummyfunction("""COMPUTED_VALUE"""),"29/07/2023")</f>
        <v>29/07/2023</v>
      </c>
      <c r="F54" s="15" t="str">
        <f>IFERROR(__xludf.dummyfunction("""COMPUTED_VALUE"""),"186******06")</f>
        <v>186******06</v>
      </c>
      <c r="G54" s="15" t="str">
        <f>IFERROR(__xludf.dummyfunction("""COMPUTED_VALUE"""),"INFANTIL 2")</f>
        <v>INFANTIL 2</v>
      </c>
      <c r="H54" s="15" t="str">
        <f>IFERROR(__xludf.dummyfunction("""COMPUTED_VALUE"""),"CEMEI PROFESSORA RAKELLY NOGUEIRA DO NASCIMENTO")</f>
        <v>CEMEI PROFESSORA RAKELLY NOGUEIRA DO NASCIMENTO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5.75" customHeight="1" spans="1:25">
      <c r="A55" s="36" t="str">
        <f t="shared" si="7"/>
        <v>REGIONAL 6</v>
      </c>
      <c r="B55" s="15" t="str">
        <f>IFERROR(__xludf.dummyfunction("""COMPUTED_VALUE"""),"11/04/2026 18:35:35")</f>
        <v>11/04/2026 18:35:35</v>
      </c>
      <c r="C55" s="38" t="str">
        <f>IFERROR(__xludf.dummyfunction("""COMPUTED_VALUE"""),"1")</f>
        <v>1</v>
      </c>
      <c r="D55" s="15" t="str">
        <f>IFERROR(__xludf.dummyfunction("""COMPUTED_VALUE"""),"E. G. O. D. S")</f>
        <v>E. G. O. D. S</v>
      </c>
      <c r="E55" s="15" t="str">
        <f>IFERROR(__xludf.dummyfunction("""COMPUTED_VALUE"""),"24/08/2025")</f>
        <v>24/08/2025</v>
      </c>
      <c r="F55" s="15" t="str">
        <f>IFERROR(__xludf.dummyfunction("""COMPUTED_VALUE"""),"713******82")</f>
        <v>713******82</v>
      </c>
      <c r="G55" s="15" t="str">
        <f>IFERROR(__xludf.dummyfunction("""COMPUTED_VALUE"""),"INFANTIL 1")</f>
        <v>INFANTIL 1</v>
      </c>
      <c r="H55" s="15" t="str">
        <f>IFERROR(__xludf.dummyfunction("""COMPUTED_VALUE"""),"CRECHE MERCIA DE ALBUQUERQUE")</f>
        <v>CRECHE MERCIA DE ALBUQUERQUE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5.75" customHeight="1" spans="1:25">
      <c r="A56" s="36" t="str">
        <f t="shared" si="7"/>
        <v>REGIONAL 6</v>
      </c>
      <c r="B56" s="15" t="str">
        <f>IFERROR(__xludf.dummyfunction("""COMPUTED_VALUE"""),"04/05/2026 08:16:27")</f>
        <v>04/05/2026 08:16:27</v>
      </c>
      <c r="C56" s="38" t="str">
        <f>IFERROR(__xludf.dummyfunction("""COMPUTED_VALUE"""),"2")</f>
        <v>2</v>
      </c>
      <c r="D56" s="15" t="str">
        <f>IFERROR(__xludf.dummyfunction("""COMPUTED_VALUE"""),"K. C. T. L. B")</f>
        <v>K. C. T. L. B</v>
      </c>
      <c r="E56" s="15" t="str">
        <f>IFERROR(__xludf.dummyfunction("""COMPUTED_VALUE"""),"24/08/2024")</f>
        <v>24/08/2024</v>
      </c>
      <c r="F56" s="15" t="str">
        <f>IFERROR(__xludf.dummyfunction("""COMPUTED_VALUE"""),"003******44")</f>
        <v>003******44</v>
      </c>
      <c r="G56" s="15" t="str">
        <f>IFERROR(__xludf.dummyfunction("""COMPUTED_VALUE"""),"INFANTIL 1")</f>
        <v>INFANTIL 1</v>
      </c>
      <c r="H56" s="15" t="str">
        <f>IFERROR(__xludf.dummyfunction("""COMPUTED_VALUE"""),"CRECHE MERCIA DE ALBUQUERQUE")</f>
        <v>CRECHE MERCIA DE ALBUQUERQUE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5.75" customHeight="1" spans="1:25">
      <c r="A57" s="36" t="str">
        <f t="shared" si="7"/>
        <v>REGIONAL 6</v>
      </c>
      <c r="B57" s="15" t="str">
        <f>IFERROR(__xludf.dummyfunction("""COMPUTED_VALUE"""),"21/05/2026 14:53:13")</f>
        <v>21/05/2026 14:53:13</v>
      </c>
      <c r="C57" s="38" t="str">
        <f>IFERROR(__xludf.dummyfunction("""COMPUTED_VALUE"""),"3")</f>
        <v>3</v>
      </c>
      <c r="D57" s="15" t="str">
        <f>IFERROR(__xludf.dummyfunction("""COMPUTED_VALUE"""),"E. P. d. M. F")</f>
        <v>E. P. d. M. F</v>
      </c>
      <c r="E57" s="15" t="str">
        <f>IFERROR(__xludf.dummyfunction("""COMPUTED_VALUE"""),"30/12/2025")</f>
        <v>30/12/2025</v>
      </c>
      <c r="F57" s="15" t="str">
        <f>IFERROR(__xludf.dummyfunction("""COMPUTED_VALUE"""),"034******72")</f>
        <v>034******72</v>
      </c>
      <c r="G57" s="15" t="str">
        <f>IFERROR(__xludf.dummyfunction("""COMPUTED_VALUE"""),"INFANTIL 1")</f>
        <v>INFANTIL 1</v>
      </c>
      <c r="H57" s="15" t="str">
        <f>IFERROR(__xludf.dummyfunction("""COMPUTED_VALUE"""),"CRECHE MERCIA DE ALBUQUERQUE")</f>
        <v>CRECHE MERCIA DE ALBUQUERQUE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5.75" customHeight="1" spans="1:25">
      <c r="A58" s="36" t="str">
        <f t="shared" si="7"/>
        <v>REGIONAL 6</v>
      </c>
      <c r="B58" s="15" t="str">
        <f>IFERROR(__xludf.dummyfunction("""COMPUTED_VALUE"""),"08/06/2026 13:47:18")</f>
        <v>08/06/2026 13:47:18</v>
      </c>
      <c r="C58" s="38" t="str">
        <f>IFERROR(__xludf.dummyfunction("""COMPUTED_VALUE"""),"4")</f>
        <v>4</v>
      </c>
      <c r="D58" s="15" t="str">
        <f>IFERROR(__xludf.dummyfunction("""COMPUTED_VALUE"""),"L. M. B. B")</f>
        <v>L. M. B. B</v>
      </c>
      <c r="E58" s="15" t="str">
        <f>IFERROR(__xludf.dummyfunction("""COMPUTED_VALUE"""),"11/02/2025")</f>
        <v>11/02/2025</v>
      </c>
      <c r="F58" s="15" t="str">
        <f>IFERROR(__xludf.dummyfunction("""COMPUTED_VALUE"""),"005******01")</f>
        <v>005******01</v>
      </c>
      <c r="G58" s="15" t="str">
        <f>IFERROR(__xludf.dummyfunction("""COMPUTED_VALUE"""),"INFANTIL 1")</f>
        <v>INFANTIL 1</v>
      </c>
      <c r="H58" s="15" t="str">
        <f>IFERROR(__xludf.dummyfunction("""COMPUTED_VALUE"""),"CRECHE MERCIA DE ALBUQUERQUE")</f>
        <v>CRECHE MERCIA DE ALBUQUERQUE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5.75" customHeight="1" spans="1:25">
      <c r="A59" s="36" t="str">
        <f t="shared" si="7"/>
        <v>REGIONAL 6</v>
      </c>
      <c r="B59" s="15" t="str">
        <f>IFERROR(__xludf.dummyfunction("""COMPUTED_VALUE"""),"13/07/2026 14:49:27")</f>
        <v>13/07/2026 14:49:27</v>
      </c>
      <c r="C59" s="38" t="str">
        <f>IFERROR(__xludf.dummyfunction("""COMPUTED_VALUE"""),"5")</f>
        <v>5</v>
      </c>
      <c r="D59" s="15" t="str">
        <f>IFERROR(__xludf.dummyfunction("""COMPUTED_VALUE"""),"S. A. D. S. S")</f>
        <v>S. A. D. S. S</v>
      </c>
      <c r="E59" s="15" t="str">
        <f>IFERROR(__xludf.dummyfunction("""COMPUTED_VALUE"""),"30/04/2024")</f>
        <v>30/04/2024</v>
      </c>
      <c r="F59" s="15" t="str">
        <f>IFERROR(__xludf.dummyfunction("""COMPUTED_VALUE"""),"002******13")</f>
        <v>002******13</v>
      </c>
      <c r="G59" s="15" t="str">
        <f>IFERROR(__xludf.dummyfunction("""COMPUTED_VALUE"""),"INFANTIL 1")</f>
        <v>INFANTIL 1</v>
      </c>
      <c r="H59" s="15" t="str">
        <f>IFERROR(__xludf.dummyfunction("""COMPUTED_VALUE"""),"CRECHE MERCIA DE ALBUQUERQUE")</f>
        <v>CRECHE MERCIA DE ALBUQUERQUE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5.75" customHeight="1" spans="1:25">
      <c r="A60" s="36" t="str">
        <f t="shared" si="7"/>
        <v>REGIONAL 6</v>
      </c>
      <c r="B60" s="15" t="str">
        <f>IFERROR(__xludf.dummyfunction("""COMPUTED_VALUE"""),"03/08/2026 09:52:52")</f>
        <v>03/08/2026 09:52:52</v>
      </c>
      <c r="C60" s="38" t="str">
        <f>IFERROR(__xludf.dummyfunction("""COMPUTED_VALUE"""),"6")</f>
        <v>6</v>
      </c>
      <c r="D60" s="15" t="str">
        <f>IFERROR(__xludf.dummyfunction("""COMPUTED_VALUE"""),"V. C. B")</f>
        <v>V. C. B</v>
      </c>
      <c r="E60" s="15" t="str">
        <f>IFERROR(__xludf.dummyfunction("""COMPUTED_VALUE"""),"19/08/2025")</f>
        <v>19/08/2025</v>
      </c>
      <c r="F60" s="15" t="str">
        <f>IFERROR(__xludf.dummyfunction("""COMPUTED_VALUE"""),"007******51")</f>
        <v>007******51</v>
      </c>
      <c r="G60" s="15" t="str">
        <f>IFERROR(__xludf.dummyfunction("""COMPUTED_VALUE"""),"INFANTIL 1")</f>
        <v>INFANTIL 1</v>
      </c>
      <c r="H60" s="15" t="str">
        <f>IFERROR(__xludf.dummyfunction("""COMPUTED_VALUE"""),"CRECHE MERCIA DE ALBUQUERQUE")</f>
        <v>CRECHE MERCIA DE ALBUQUERQUE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5.75" customHeight="1" spans="1:25">
      <c r="A61" s="36" t="str">
        <f t="shared" si="7"/>
        <v>REGIONAL 6</v>
      </c>
      <c r="B61" s="15" t="str">
        <f>IFERROR(__xludf.dummyfunction("""COMPUTED_VALUE"""),"26/08/2026 17:16:19")</f>
        <v>26/08/2026 17:16:19</v>
      </c>
      <c r="C61" s="38" t="str">
        <f>IFERROR(__xludf.dummyfunction("""COMPUTED_VALUE"""),"7")</f>
        <v>7</v>
      </c>
      <c r="D61" s="15" t="str">
        <f>IFERROR(__xludf.dummyfunction("""COMPUTED_VALUE"""),"L. G. L. d. S")</f>
        <v>L. G. L. d. S</v>
      </c>
      <c r="E61" s="15" t="str">
        <f>IFERROR(__xludf.dummyfunction("""COMPUTED_VALUE"""),"15/06/2024")</f>
        <v>15/06/2024</v>
      </c>
      <c r="F61" s="15" t="str">
        <f>IFERROR(__xludf.dummyfunction("""COMPUTED_VALUE"""),"003******69")</f>
        <v>003******69</v>
      </c>
      <c r="G61" s="15" t="str">
        <f>IFERROR(__xludf.dummyfunction("""COMPUTED_VALUE"""),"INFANTIL 1")</f>
        <v>INFANTIL 1</v>
      </c>
      <c r="H61" s="15" t="str">
        <f>IFERROR(__xludf.dummyfunction("""COMPUTED_VALUE"""),"CRECHE MERCIA DE ALBUQUERQUE")</f>
        <v>CRECHE MERCIA DE ALBUQUERQUE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5.75" customHeight="1" spans="1:25">
      <c r="A62" s="36" t="str">
        <f t="shared" si="7"/>
        <v>REGIONAL 6</v>
      </c>
      <c r="B62" s="15" t="str">
        <f>IFERROR(__xludf.dummyfunction("""COMPUTED_VALUE"""),"28/08/2026 12:21:08")</f>
        <v>28/08/2026 12:21:08</v>
      </c>
      <c r="C62" s="38" t="str">
        <f>IFERROR(__xludf.dummyfunction("""COMPUTED_VALUE"""),"8")</f>
        <v>8</v>
      </c>
      <c r="D62" s="15" t="str">
        <f>IFERROR(__xludf.dummyfunction("""COMPUTED_VALUE"""),"M. H. d. s. n")</f>
        <v>M. H. d. s. n</v>
      </c>
      <c r="E62" s="15" t="str">
        <f>IFERROR(__xludf.dummyfunction("""COMPUTED_VALUE"""),"13/01/2026")</f>
        <v>13/01/2026</v>
      </c>
      <c r="F62" s="15" t="str">
        <f>IFERROR(__xludf.dummyfunction("""COMPUTED_VALUE"""),"071******04")</f>
        <v>071******04</v>
      </c>
      <c r="G62" s="15" t="str">
        <f>IFERROR(__xludf.dummyfunction("""COMPUTED_VALUE"""),"INFANTIL 1")</f>
        <v>INFANTIL 1</v>
      </c>
      <c r="H62" s="15" t="str">
        <f>IFERROR(__xludf.dummyfunction("""COMPUTED_VALUE"""),"CRECHE MERCIA DE ALBUQUERQUE")</f>
        <v>CRECHE MERCIA DE ALBUQUERQUE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5.75" customHeight="1" spans="1:25">
      <c r="A63" s="36" t="str">
        <f t="shared" si="7"/>
        <v>REGIONAL 6</v>
      </c>
      <c r="B63" s="15" t="str">
        <f>IFERROR(__xludf.dummyfunction("""COMPUTED_VALUE"""),"04/09/2026 16:38:23")</f>
        <v>04/09/2026 16:38:23</v>
      </c>
      <c r="C63" s="38" t="str">
        <f>IFERROR(__xludf.dummyfunction("""COMPUTED_VALUE"""),"9")</f>
        <v>9</v>
      </c>
      <c r="D63" s="15" t="str">
        <f>IFERROR(__xludf.dummyfunction("""COMPUTED_VALUE"""),"M. H. T. D. S")</f>
        <v>M. H. T. D. S</v>
      </c>
      <c r="E63" s="15" t="str">
        <f>IFERROR(__xludf.dummyfunction("""COMPUTED_VALUE"""),"19/09/2025")</f>
        <v>19/09/2025</v>
      </c>
      <c r="F63" s="15" t="str">
        <f>IFERROR(__xludf.dummyfunction("""COMPUTED_VALUE"""),"010******63")</f>
        <v>010******63</v>
      </c>
      <c r="G63" s="15" t="str">
        <f>IFERROR(__xludf.dummyfunction("""COMPUTED_VALUE"""),"INFANTIL 1")</f>
        <v>INFANTIL 1</v>
      </c>
      <c r="H63" s="15" t="str">
        <f>IFERROR(__xludf.dummyfunction("""COMPUTED_VALUE"""),"CRECHE MERCIA DE ALBUQUERQUE")</f>
        <v>CRECHE MERCIA DE ALBUQUERQUE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5.75" customHeight="1" spans="1:25">
      <c r="A64" s="36" t="str">
        <f t="shared" si="7"/>
        <v>REGIONAL 6</v>
      </c>
      <c r="B64" s="15" t="str">
        <f>IFERROR(__xludf.dummyfunction("""COMPUTED_VALUE"""),"02/03/2026 15:50:23")</f>
        <v>02/03/2026 15:50:23</v>
      </c>
      <c r="C64" s="38" t="str">
        <f>IFERROR(__xludf.dummyfunction("""COMPUTED_VALUE"""),"1")</f>
        <v>1</v>
      </c>
      <c r="D64" s="15" t="str">
        <f>IFERROR(__xludf.dummyfunction("""COMPUTED_VALUE"""),"J. H. D. S. F")</f>
        <v>J. H. D. S. F</v>
      </c>
      <c r="E64" s="15" t="str">
        <f>IFERROR(__xludf.dummyfunction("""COMPUTED_VALUE"""),"25/07/2023")</f>
        <v>25/07/2023</v>
      </c>
      <c r="F64" s="15" t="str">
        <f>IFERROR(__xludf.dummyfunction("""COMPUTED_VALUE"""),"186******29")</f>
        <v>186******29</v>
      </c>
      <c r="G64" s="15" t="str">
        <f>IFERROR(__xludf.dummyfunction("""COMPUTED_VALUE"""),"INFANTIL 2")</f>
        <v>INFANTIL 2</v>
      </c>
      <c r="H64" s="15" t="str">
        <f>IFERROR(__xludf.dummyfunction("""COMPUTED_VALUE"""),"CRECHE MERCIA DE ALBUQUERQUE")</f>
        <v>CRECHE MERCIA DE ALBUQUERQUE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5.75" customHeight="1" spans="1:25">
      <c r="A65" s="36" t="str">
        <f t="shared" si="7"/>
        <v>REGIONAL 6</v>
      </c>
      <c r="B65" s="15" t="str">
        <f>IFERROR(__xludf.dummyfunction("""COMPUTED_VALUE"""),"11/03/2026 07:47:14")</f>
        <v>11/03/2026 07:47:14</v>
      </c>
      <c r="C65" s="38" t="str">
        <f>IFERROR(__xludf.dummyfunction("""COMPUTED_VALUE"""),"2")</f>
        <v>2</v>
      </c>
      <c r="D65" s="15" t="str">
        <f>IFERROR(__xludf.dummyfunction("""COMPUTED_VALUE"""),"T. D. B. D. S")</f>
        <v>T. D. B. D. S</v>
      </c>
      <c r="E65" s="15" t="str">
        <f>IFERROR(__xludf.dummyfunction("""COMPUTED_VALUE"""),"22/09/2023")</f>
        <v>22/09/2023</v>
      </c>
      <c r="F65" s="15" t="str">
        <f>IFERROR(__xludf.dummyfunction("""COMPUTED_VALUE"""),"000******40")</f>
        <v>000******40</v>
      </c>
      <c r="G65" s="15" t="str">
        <f>IFERROR(__xludf.dummyfunction("""COMPUTED_VALUE"""),"INFANTIL 2")</f>
        <v>INFANTIL 2</v>
      </c>
      <c r="H65" s="15" t="str">
        <f>IFERROR(__xludf.dummyfunction("""COMPUTED_VALUE"""),"CRECHE MERCIA DE ALBUQUERQUE")</f>
        <v>CRECHE MERCIA DE ALBUQUERQUE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5.75" customHeight="1" spans="1:25">
      <c r="A66" s="36" t="str">
        <f t="shared" si="7"/>
        <v>REGIONAL 6</v>
      </c>
      <c r="B66" s="15" t="str">
        <f>IFERROR(__xludf.dummyfunction("""COMPUTED_VALUE"""),"25/03/2026 13:04:37")</f>
        <v>25/03/2026 13:04:37</v>
      </c>
      <c r="C66" s="38" t="str">
        <f>IFERROR(__xludf.dummyfunction("""COMPUTED_VALUE"""),"3")</f>
        <v>3</v>
      </c>
      <c r="D66" s="15" t="str">
        <f>IFERROR(__xludf.dummyfunction("""COMPUTED_VALUE"""),"B. L. S. D. S")</f>
        <v>B. L. S. D. S</v>
      </c>
      <c r="E66" s="15" t="str">
        <f>IFERROR(__xludf.dummyfunction("""COMPUTED_VALUE"""),"14/10/2023")</f>
        <v>14/10/2023</v>
      </c>
      <c r="F66" s="15" t="str">
        <f>IFERROR(__xludf.dummyfunction("""COMPUTED_VALUE"""),"000******08")</f>
        <v>000******08</v>
      </c>
      <c r="G66" s="15" t="str">
        <f>IFERROR(__xludf.dummyfunction("""COMPUTED_VALUE"""),"INFANTIL 2")</f>
        <v>INFANTIL 2</v>
      </c>
      <c r="H66" s="15" t="str">
        <f>IFERROR(__xludf.dummyfunction("""COMPUTED_VALUE"""),"CRECHE MERCIA DE ALBUQUERQUE")</f>
        <v>CRECHE MERCIA DE ALBUQUERQUE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5.75" customHeight="1" spans="1:25">
      <c r="A67" s="36" t="str">
        <f t="shared" si="7"/>
        <v>REGIONAL 6</v>
      </c>
      <c r="B67" s="15" t="str">
        <f>IFERROR(__xludf.dummyfunction("""COMPUTED_VALUE"""),"15/07/2026 09:23:58")</f>
        <v>15/07/2026 09:23:58</v>
      </c>
      <c r="C67" s="38" t="str">
        <f>IFERROR(__xludf.dummyfunction("""COMPUTED_VALUE"""),"4")</f>
        <v>4</v>
      </c>
      <c r="D67" s="15" t="str">
        <f>IFERROR(__xludf.dummyfunction("""COMPUTED_VALUE"""),"G. d. S. B")</f>
        <v>G. d. S. B</v>
      </c>
      <c r="E67" s="15" t="str">
        <f>IFERROR(__xludf.dummyfunction("""COMPUTED_VALUE"""),"01/08/2023")</f>
        <v>01/08/2023</v>
      </c>
      <c r="F67" s="15" t="str">
        <f>IFERROR(__xludf.dummyfunction("""COMPUTED_VALUE"""),"186******01")</f>
        <v>186******01</v>
      </c>
      <c r="G67" s="15" t="str">
        <f>IFERROR(__xludf.dummyfunction("""COMPUTED_VALUE"""),"INFANTIL 2")</f>
        <v>INFANTIL 2</v>
      </c>
      <c r="H67" s="15" t="str">
        <f>IFERROR(__xludf.dummyfunction("""COMPUTED_VALUE"""),"CRECHE MERCIA DE ALBUQUERQUE")</f>
        <v>CRECHE MERCIA DE ALBUQUERQUE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5.75" customHeight="1" spans="1:25">
      <c r="A68" s="36" t="str">
        <f t="shared" si="7"/>
        <v>REGIONAL 6</v>
      </c>
      <c r="B68" s="15" t="str">
        <f>IFERROR(__xludf.dummyfunction("""COMPUTED_VALUE"""),"23/07/2026 11:19:34")</f>
        <v>23/07/2026 11:19:34</v>
      </c>
      <c r="C68" s="38" t="str">
        <f>IFERROR(__xludf.dummyfunction("""COMPUTED_VALUE"""),"5")</f>
        <v>5</v>
      </c>
      <c r="D68" s="15" t="str">
        <f>IFERROR(__xludf.dummyfunction("""COMPUTED_VALUE"""),"J. P. P. X")</f>
        <v>J. P. P. X</v>
      </c>
      <c r="E68" s="15" t="str">
        <f>IFERROR(__xludf.dummyfunction("""COMPUTED_VALUE"""),"16/03/2024")</f>
        <v>16/03/2024</v>
      </c>
      <c r="F68" s="15" t="str">
        <f>IFERROR(__xludf.dummyfunction("""COMPUTED_VALUE"""),"002******04")</f>
        <v>002******04</v>
      </c>
      <c r="G68" s="15" t="str">
        <f>IFERROR(__xludf.dummyfunction("""COMPUTED_VALUE"""),"INFANTIL 2")</f>
        <v>INFANTIL 2</v>
      </c>
      <c r="H68" s="15" t="str">
        <f>IFERROR(__xludf.dummyfunction("""COMPUTED_VALUE"""),"CRECHE MERCIA DE ALBUQUERQUE")</f>
        <v>CRECHE MERCIA DE ALBUQUERQUE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5.75" customHeight="1" spans="1:25">
      <c r="A69" s="36" t="str">
        <f t="shared" si="7"/>
        <v>REGIONAL 6</v>
      </c>
      <c r="B69" s="15" t="str">
        <f>IFERROR(__xludf.dummyfunction("""COMPUTED_VALUE"""),"23/09/2026 16:09:51")</f>
        <v>23/09/2026 16:09:51</v>
      </c>
      <c r="C69" s="38" t="str">
        <f>IFERROR(__xludf.dummyfunction("""COMPUTED_VALUE"""),"6")</f>
        <v>6</v>
      </c>
      <c r="D69" s="15" t="str">
        <f>IFERROR(__xludf.dummyfunction("""COMPUTED_VALUE"""),"A. M. d. S. G")</f>
        <v>A. M. d. S. G</v>
      </c>
      <c r="E69" s="15" t="str">
        <f>IFERROR(__xludf.dummyfunction("""COMPUTED_VALUE"""),"07/11/2023")</f>
        <v>07/11/2023</v>
      </c>
      <c r="F69" s="15" t="str">
        <f>IFERROR(__xludf.dummyfunction("""COMPUTED_VALUE"""),"000******30")</f>
        <v>000******30</v>
      </c>
      <c r="G69" s="15" t="str">
        <f>IFERROR(__xludf.dummyfunction("""COMPUTED_VALUE"""),"INFANTIL 2")</f>
        <v>INFANTIL 2</v>
      </c>
      <c r="H69" s="15" t="str">
        <f>IFERROR(__xludf.dummyfunction("""COMPUTED_VALUE"""),"CRECHE MERCIA DE ALBUQUERQUE")</f>
        <v>CRECHE MERCIA DE ALBUQUERQUE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5.75" customHeight="1" spans="1:25">
      <c r="A70" s="36"/>
      <c r="B70" s="15"/>
      <c r="C70" s="3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5.75" customHeight="1" spans="1:25">
      <c r="A71" s="36"/>
      <c r="B71" s="15"/>
      <c r="C71" s="3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5.75" customHeight="1" spans="1:25">
      <c r="A72" s="36"/>
      <c r="B72" s="15"/>
      <c r="C72" s="3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5.75" customHeight="1" spans="1:25">
      <c r="A73" s="36"/>
      <c r="B73" s="15"/>
      <c r="C73" s="3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5.75" customHeight="1" spans="1:25">
      <c r="A74" s="36"/>
      <c r="B74" s="15"/>
      <c r="C74" s="3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5.75" customHeight="1" spans="1:25">
      <c r="A75" s="36"/>
      <c r="B75" s="15"/>
      <c r="C75" s="38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5.75" customHeight="1" spans="1:25">
      <c r="A76" s="36"/>
      <c r="B76" s="15"/>
      <c r="C76" s="38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5.75" customHeight="1" spans="1:25">
      <c r="A77" s="36"/>
      <c r="B77" s="15"/>
      <c r="C77" s="38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5.75" customHeight="1" spans="1:25">
      <c r="A78" s="36"/>
      <c r="B78" s="15"/>
      <c r="C78" s="38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5.75" customHeight="1" spans="1:25">
      <c r="A79" s="36"/>
      <c r="B79" s="15"/>
      <c r="C79" s="3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5.75" customHeight="1" spans="1:25">
      <c r="A80" s="36"/>
      <c r="B80" s="15"/>
      <c r="C80" s="38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5.75" customHeight="1" spans="1:25">
      <c r="A81" s="36"/>
      <c r="B81" s="15"/>
      <c r="C81" s="38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5.75" customHeight="1" spans="1:25">
      <c r="A82" s="36"/>
      <c r="B82" s="15"/>
      <c r="C82" s="3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5.75" customHeight="1" spans="1:25">
      <c r="A83" s="36"/>
      <c r="B83" s="15"/>
      <c r="C83" s="38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5.75" customHeight="1" spans="1:25">
      <c r="A84" s="36"/>
      <c r="B84" s="15"/>
      <c r="C84" s="38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5.75" customHeight="1" spans="1:25">
      <c r="A85" s="36"/>
      <c r="B85" s="15"/>
      <c r="C85" s="38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5.75" customHeight="1" spans="1:25">
      <c r="A86" s="36"/>
      <c r="B86" s="15"/>
      <c r="C86" s="38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5.75" customHeight="1" spans="1:25">
      <c r="A87" s="36"/>
      <c r="B87" s="15"/>
      <c r="C87" s="38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5.75" customHeight="1" spans="1:25">
      <c r="A88" s="36"/>
      <c r="B88" s="15"/>
      <c r="C88" s="38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5.75" customHeight="1" spans="1:25">
      <c r="A89" s="36"/>
      <c r="B89" s="15"/>
      <c r="C89" s="38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5.75" customHeight="1" spans="1:25">
      <c r="A90" s="36"/>
      <c r="B90" s="15"/>
      <c r="C90" s="38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5.75" customHeight="1" spans="1:25">
      <c r="A91" s="36"/>
      <c r="B91" s="15"/>
      <c r="C91" s="38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5.75" customHeight="1" spans="1:25">
      <c r="A92" s="36"/>
      <c r="B92" s="15"/>
      <c r="C92" s="38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5.75" customHeight="1" spans="1:25">
      <c r="A93" s="36"/>
      <c r="B93" s="15"/>
      <c r="C93" s="38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5.75" customHeight="1" spans="1:25">
      <c r="A94" s="36"/>
      <c r="B94" s="15"/>
      <c r="C94" s="38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5.75" customHeight="1" spans="1:25">
      <c r="A95" s="36"/>
      <c r="B95" s="15"/>
      <c r="C95" s="38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5.75" customHeight="1" spans="1:25">
      <c r="A96" s="36"/>
      <c r="B96" s="15"/>
      <c r="C96" s="38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5.75" customHeight="1" spans="1:25">
      <c r="A97" s="36"/>
      <c r="B97" s="15"/>
      <c r="C97" s="38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5.75" customHeight="1" spans="1:25">
      <c r="A98" s="36"/>
      <c r="B98" s="15"/>
      <c r="C98" s="38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5.75" customHeight="1" spans="1:25">
      <c r="A99" s="36"/>
      <c r="B99" s="15"/>
      <c r="C99" s="38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5.75" customHeight="1" spans="1:25">
      <c r="A100" s="36"/>
      <c r="B100" s="15"/>
      <c r="C100" s="38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5.75" customHeight="1" spans="1:25">
      <c r="A101" s="36"/>
      <c r="B101" s="15"/>
      <c r="C101" s="38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5.75" customHeight="1" spans="1:25">
      <c r="A102" s="36"/>
      <c r="B102" s="15"/>
      <c r="C102" s="38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5.75" customHeight="1" spans="1:25">
      <c r="A103" s="36"/>
      <c r="B103" s="15"/>
      <c r="C103" s="38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5.75" customHeight="1" spans="1:25">
      <c r="A104" s="36"/>
      <c r="B104" s="15"/>
      <c r="C104" s="38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5.75" customHeight="1" spans="1:25">
      <c r="A105" s="36"/>
      <c r="B105" s="15"/>
      <c r="C105" s="38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5.75" customHeight="1" spans="1:25">
      <c r="A106" s="36"/>
      <c r="B106" s="15"/>
      <c r="C106" s="38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5.75" customHeight="1" spans="1:25">
      <c r="A107" s="36"/>
      <c r="B107" s="15"/>
      <c r="C107" s="38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5.75" customHeight="1" spans="1:25">
      <c r="A108" s="36"/>
      <c r="B108" s="15"/>
      <c r="C108" s="38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5.75" customHeight="1" spans="1:25">
      <c r="A109" s="36"/>
      <c r="B109" s="15"/>
      <c r="C109" s="38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5.75" customHeight="1" spans="1:25">
      <c r="A110" s="36"/>
      <c r="B110" s="15"/>
      <c r="C110" s="38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5.75" customHeight="1" spans="1:25">
      <c r="A111" s="36"/>
      <c r="B111" s="15"/>
      <c r="C111" s="38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5.75" customHeight="1" spans="1:25">
      <c r="A112" s="36"/>
      <c r="B112" s="15"/>
      <c r="C112" s="38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5.75" customHeight="1" spans="1:25">
      <c r="A113" s="36"/>
      <c r="B113" s="15"/>
      <c r="C113" s="38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5.75" customHeight="1" spans="1:25">
      <c r="A114" s="36"/>
      <c r="B114" s="15"/>
      <c r="C114" s="38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5.75" customHeight="1" spans="1:25">
      <c r="A115" s="36"/>
      <c r="B115" s="15"/>
      <c r="C115" s="38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5.75" customHeight="1" spans="1:25">
      <c r="A116" s="36"/>
      <c r="B116" s="15"/>
      <c r="C116" s="38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5.75" customHeight="1" spans="1:25">
      <c r="A117" s="36"/>
      <c r="B117" s="15"/>
      <c r="C117" s="38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5.75" customHeight="1" spans="1:25">
      <c r="A118" s="36"/>
      <c r="B118" s="15"/>
      <c r="C118" s="38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5.75" customHeight="1" spans="1:25">
      <c r="A119" s="36"/>
      <c r="B119" s="15"/>
      <c r="C119" s="38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5.75" customHeight="1" spans="1:25">
      <c r="A120" s="36"/>
      <c r="B120" s="15"/>
      <c r="C120" s="38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5.75" customHeight="1" spans="1:25">
      <c r="A121" s="36"/>
      <c r="B121" s="15"/>
      <c r="C121" s="38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5.75" customHeight="1" spans="1:25">
      <c r="A122" s="36"/>
      <c r="B122" s="15"/>
      <c r="C122" s="38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5.75" customHeight="1" spans="1:25">
      <c r="A123" s="36"/>
      <c r="B123" s="15"/>
      <c r="C123" s="38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5.75" customHeight="1" spans="1:25">
      <c r="A124" s="36"/>
      <c r="B124" s="15"/>
      <c r="C124" s="38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5.75" customHeight="1" spans="1:25">
      <c r="A125" s="36"/>
      <c r="B125" s="15"/>
      <c r="C125" s="38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ht="15.75" customHeight="1" spans="1:25">
      <c r="A126" s="36"/>
      <c r="B126" s="15"/>
      <c r="C126" s="38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ht="15.75" customHeight="1" spans="1:25">
      <c r="A127" s="36"/>
      <c r="B127" s="15"/>
      <c r="C127" s="38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ht="15.75" customHeight="1" spans="1:25">
      <c r="A128" s="36"/>
      <c r="B128" s="15"/>
      <c r="C128" s="38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ht="15.75" customHeight="1" spans="1:25">
      <c r="A129" s="36"/>
      <c r="B129" s="15"/>
      <c r="C129" s="38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ht="15.75" customHeight="1" spans="1:25">
      <c r="A130" s="36"/>
      <c r="B130" s="15"/>
      <c r="C130" s="38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ht="15.75" customHeight="1" spans="1:25">
      <c r="A131" s="36"/>
      <c r="B131" s="15"/>
      <c r="C131" s="38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ht="15.75" customHeight="1" spans="1:25">
      <c r="A132" s="36"/>
      <c r="B132" s="15"/>
      <c r="C132" s="38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ht="15.75" customHeight="1" spans="1:25">
      <c r="A133" s="36"/>
      <c r="B133" s="15"/>
      <c r="C133" s="38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ht="15.75" customHeight="1" spans="1:25">
      <c r="A134" s="36"/>
      <c r="B134" s="15"/>
      <c r="C134" s="38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ht="15.75" customHeight="1" spans="1:25">
      <c r="A135" s="36"/>
      <c r="B135" s="15"/>
      <c r="C135" s="38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ht="15.75" customHeight="1" spans="1:25">
      <c r="A136" s="36"/>
      <c r="B136" s="15"/>
      <c r="C136" s="38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ht="15.75" customHeight="1" spans="1:25">
      <c r="A137" s="36"/>
      <c r="B137" s="15"/>
      <c r="C137" s="38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ht="15.75" customHeight="1" spans="1:25">
      <c r="A138" s="36"/>
      <c r="B138" s="15"/>
      <c r="C138" s="38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ht="15.75" customHeight="1" spans="1:25">
      <c r="A139" s="36"/>
      <c r="B139" s="15"/>
      <c r="C139" s="38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ht="15.75" customHeight="1" spans="1:25">
      <c r="A140" s="36"/>
      <c r="B140" s="15"/>
      <c r="C140" s="38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5.75" customHeight="1" spans="1:25">
      <c r="A141" s="36"/>
      <c r="B141" s="15"/>
      <c r="C141" s="38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ht="15.75" customHeight="1" spans="1:25">
      <c r="A142" s="36"/>
      <c r="B142" s="15"/>
      <c r="C142" s="38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5.75" customHeight="1" spans="1:25">
      <c r="A143" s="36"/>
      <c r="B143" s="15"/>
      <c r="C143" s="38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ht="15.75" customHeight="1" spans="1:25">
      <c r="A144" s="36"/>
      <c r="B144" s="15"/>
      <c r="C144" s="38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ht="15.75" customHeight="1" spans="1:25">
      <c r="A145" s="36"/>
      <c r="B145" s="15"/>
      <c r="C145" s="38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ht="15.75" customHeight="1" spans="1:25">
      <c r="A146" s="36"/>
      <c r="B146" s="15"/>
      <c r="C146" s="38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ht="15.75" customHeight="1" spans="1:25">
      <c r="A147" s="36"/>
      <c r="B147" s="15"/>
      <c r="C147" s="38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ht="15.75" customHeight="1" spans="1:25">
      <c r="A148" s="36"/>
      <c r="B148" s="15"/>
      <c r="C148" s="38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ht="15.75" customHeight="1" spans="1:25">
      <c r="A149" s="36"/>
      <c r="B149" s="15"/>
      <c r="C149" s="38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ht="15.75" customHeight="1" spans="1:25">
      <c r="A150" s="36"/>
      <c r="B150" s="15"/>
      <c r="C150" s="38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ht="15.75" customHeight="1" spans="1:25">
      <c r="A151" s="36"/>
      <c r="B151" s="15"/>
      <c r="C151" s="38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ht="15.75" customHeight="1" spans="1:25">
      <c r="A152" s="36"/>
      <c r="B152" s="15"/>
      <c r="C152" s="38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ht="15.75" customHeight="1" spans="1:25">
      <c r="A153" s="36"/>
      <c r="B153" s="15"/>
      <c r="C153" s="38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ht="15.75" customHeight="1" spans="1:25">
      <c r="A154" s="36"/>
      <c r="B154" s="15"/>
      <c r="C154" s="38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ht="15.75" customHeight="1" spans="1:25">
      <c r="A155" s="36"/>
      <c r="B155" s="15"/>
      <c r="C155" s="38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ht="15.75" customHeight="1" spans="1:25">
      <c r="A156" s="36"/>
      <c r="B156" s="15"/>
      <c r="C156" s="38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ht="15.75" customHeight="1" spans="1:25">
      <c r="A157" s="36"/>
      <c r="B157" s="15"/>
      <c r="C157" s="38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ht="15.75" customHeight="1" spans="1:25">
      <c r="A158" s="36"/>
      <c r="B158" s="15"/>
      <c r="C158" s="38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ht="15.75" customHeight="1" spans="1:25">
      <c r="A159" s="36"/>
      <c r="B159" s="15"/>
      <c r="C159" s="38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ht="15.75" customHeight="1" spans="1:25">
      <c r="A160" s="36"/>
      <c r="B160" s="15"/>
      <c r="C160" s="38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ht="15.75" customHeight="1" spans="1:25">
      <c r="A161" s="36"/>
      <c r="B161" s="15"/>
      <c r="C161" s="38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ht="15.75" customHeight="1" spans="1:25">
      <c r="A162" s="36"/>
      <c r="B162" s="15"/>
      <c r="C162" s="38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ht="15.75" customHeight="1" spans="1:25">
      <c r="A163" s="36"/>
      <c r="B163" s="15"/>
      <c r="C163" s="38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ht="15.75" customHeight="1" spans="1:25">
      <c r="A164" s="36"/>
      <c r="B164" s="15"/>
      <c r="C164" s="38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ht="15.75" customHeight="1" spans="1:25">
      <c r="A165" s="36"/>
      <c r="B165" s="15"/>
      <c r="C165" s="38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ht="15.75" customHeight="1" spans="1:25">
      <c r="A166" s="36"/>
      <c r="B166" s="15"/>
      <c r="C166" s="38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ht="15.75" customHeight="1" spans="1:25">
      <c r="A167" s="36"/>
      <c r="B167" s="15"/>
      <c r="C167" s="38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ht="15.75" customHeight="1" spans="1:25">
      <c r="A168" s="36"/>
      <c r="B168" s="15"/>
      <c r="C168" s="38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ht="15.75" customHeight="1" spans="1:25">
      <c r="A169" s="36"/>
      <c r="B169" s="15"/>
      <c r="C169" s="38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ht="15.75" customHeight="1" spans="1:25">
      <c r="A170" s="36"/>
      <c r="B170" s="15"/>
      <c r="C170" s="38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ht="15.75" customHeight="1" spans="1:25">
      <c r="A171" s="36"/>
      <c r="B171" s="15"/>
      <c r="C171" s="38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ht="15.75" customHeight="1" spans="1:25">
      <c r="A172" s="36"/>
      <c r="B172" s="15"/>
      <c r="C172" s="38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ht="15.75" customHeight="1" spans="1:25">
      <c r="A173" s="36"/>
      <c r="B173" s="15"/>
      <c r="C173" s="38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ht="15.75" customHeight="1" spans="1:25">
      <c r="A174" s="36"/>
      <c r="B174" s="15"/>
      <c r="C174" s="38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ht="15.75" customHeight="1" spans="1:25">
      <c r="A175" s="36"/>
      <c r="B175" s="15"/>
      <c r="C175" s="38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ht="15.75" customHeight="1" spans="1:25">
      <c r="A176" s="36"/>
      <c r="B176" s="15"/>
      <c r="C176" s="38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ht="15.75" customHeight="1" spans="1:25">
      <c r="A177" s="36"/>
      <c r="B177" s="15"/>
      <c r="C177" s="38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ht="15.75" customHeight="1" spans="1:25">
      <c r="A178" s="36"/>
      <c r="B178" s="15"/>
      <c r="C178" s="38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ht="15.75" customHeight="1" spans="1:25">
      <c r="A179" s="36"/>
      <c r="B179" s="15"/>
      <c r="C179" s="38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ht="15.75" customHeight="1" spans="1:25">
      <c r="A180" s="36"/>
      <c r="B180" s="15"/>
      <c r="C180" s="38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ht="15.75" customHeight="1" spans="1:25">
      <c r="A181" s="36"/>
      <c r="B181" s="15"/>
      <c r="C181" s="38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ht="15.75" customHeight="1" spans="1:25">
      <c r="A182" s="36"/>
      <c r="B182" s="15"/>
      <c r="C182" s="38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ht="15.75" customHeight="1" spans="1:25">
      <c r="A183" s="36"/>
      <c r="B183" s="15"/>
      <c r="C183" s="38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5.75" customHeight="1" spans="1:25">
      <c r="A184" s="36"/>
      <c r="B184" s="15"/>
      <c r="C184" s="38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ht="15.75" customHeight="1" spans="1:25">
      <c r="A185" s="36"/>
      <c r="B185" s="15"/>
      <c r="C185" s="38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ht="15.75" customHeight="1" spans="1:25">
      <c r="A186" s="36"/>
      <c r="B186" s="15"/>
      <c r="C186" s="38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ht="15.75" customHeight="1" spans="1:25">
      <c r="A187" s="36"/>
      <c r="B187" s="15"/>
      <c r="C187" s="38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ht="15.75" customHeight="1" spans="1:25">
      <c r="A188" s="36"/>
      <c r="B188" s="15"/>
      <c r="C188" s="38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ht="15.75" customHeight="1" spans="1:25">
      <c r="A189" s="36"/>
      <c r="B189" s="15"/>
      <c r="C189" s="38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ht="15.75" customHeight="1" spans="1:25">
      <c r="A190" s="36"/>
      <c r="B190" s="15"/>
      <c r="C190" s="38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ht="15.75" customHeight="1" spans="1:25">
      <c r="A191" s="36"/>
      <c r="B191" s="15"/>
      <c r="C191" s="38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ht="15.75" customHeight="1" spans="1:25">
      <c r="A192" s="36"/>
      <c r="B192" s="15"/>
      <c r="C192" s="38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ht="15.75" customHeight="1" spans="1:25">
      <c r="A193" s="36"/>
      <c r="B193" s="15"/>
      <c r="C193" s="38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ht="15.75" customHeight="1" spans="1:25">
      <c r="A194" s="36"/>
      <c r="B194" s="15"/>
      <c r="C194" s="38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ht="15.75" customHeight="1" spans="1:25">
      <c r="A195" s="36"/>
      <c r="B195" s="15"/>
      <c r="C195" s="38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ht="15.75" customHeight="1" spans="1:25">
      <c r="A196" s="36"/>
      <c r="B196" s="15"/>
      <c r="C196" s="38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ht="15.75" customHeight="1" spans="1:25">
      <c r="A197" s="36"/>
      <c r="B197" s="15"/>
      <c r="C197" s="38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ht="15.75" customHeight="1" spans="1:25">
      <c r="A198" s="36"/>
      <c r="B198" s="15"/>
      <c r="C198" s="38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ht="15.75" customHeight="1" spans="1:25">
      <c r="A199" s="36"/>
      <c r="B199" s="15"/>
      <c r="C199" s="38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ht="15.75" customHeight="1" spans="1:25">
      <c r="A200" s="36"/>
      <c r="B200" s="15"/>
      <c r="C200" s="38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ht="15.75" customHeight="1" spans="1:25">
      <c r="A201" s="36"/>
      <c r="B201" s="15"/>
      <c r="C201" s="38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ht="15.75" customHeight="1" spans="1:25">
      <c r="A202" s="36"/>
      <c r="B202" s="15"/>
      <c r="C202" s="38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ht="15.75" customHeight="1" spans="1:25">
      <c r="A203" s="36"/>
      <c r="B203" s="15"/>
      <c r="C203" s="38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ht="15.75" customHeight="1" spans="1:25">
      <c r="A204" s="36"/>
      <c r="B204" s="15"/>
      <c r="C204" s="38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ht="15.75" customHeight="1" spans="1:25">
      <c r="A205" s="36"/>
      <c r="B205" s="15"/>
      <c r="C205" s="38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ht="15.75" customHeight="1" spans="1:25">
      <c r="A206" s="36"/>
      <c r="B206" s="15"/>
      <c r="C206" s="38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ht="15.75" customHeight="1" spans="1:25">
      <c r="A207" s="36"/>
      <c r="B207" s="15"/>
      <c r="C207" s="38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ht="15.75" customHeight="1" spans="1:25">
      <c r="A208" s="36"/>
      <c r="B208" s="15"/>
      <c r="C208" s="38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ht="15.75" customHeight="1" spans="1:25">
      <c r="A209" s="36"/>
      <c r="B209" s="15"/>
      <c r="C209" s="38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ht="15.75" customHeight="1" spans="1:25">
      <c r="A210" s="36"/>
      <c r="B210" s="15"/>
      <c r="C210" s="38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ht="15.75" customHeight="1" spans="1:25">
      <c r="A211" s="36"/>
      <c r="B211" s="15"/>
      <c r="C211" s="38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ht="15.75" customHeight="1" spans="1:25">
      <c r="A212" s="36"/>
      <c r="B212" s="15"/>
      <c r="C212" s="38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ht="15.75" customHeight="1" spans="1:25">
      <c r="A213" s="36"/>
      <c r="B213" s="15"/>
      <c r="C213" s="38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ht="15.75" customHeight="1" spans="1:25">
      <c r="A214" s="36"/>
      <c r="B214" s="15"/>
      <c r="C214" s="38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ht="15.75" customHeight="1" spans="1:25">
      <c r="A215" s="36"/>
      <c r="B215" s="15"/>
      <c r="C215" s="38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ht="15.75" customHeight="1" spans="1:25">
      <c r="A216" s="36"/>
      <c r="B216" s="15"/>
      <c r="C216" s="38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ht="15.75" customHeight="1" spans="1:25">
      <c r="A217" s="36"/>
      <c r="B217" s="15"/>
      <c r="C217" s="38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ht="15.75" customHeight="1" spans="1:25">
      <c r="A218" s="36"/>
      <c r="B218" s="15"/>
      <c r="C218" s="38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ht="15.75" customHeight="1" spans="1:25">
      <c r="A219" s="36"/>
      <c r="B219" s="15"/>
      <c r="C219" s="38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ht="15.75" customHeight="1" spans="1:25">
      <c r="A220" s="36"/>
      <c r="B220" s="15"/>
      <c r="C220" s="38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ht="15.75" customHeight="1" spans="1:25">
      <c r="A221" s="36"/>
      <c r="B221" s="15"/>
      <c r="C221" s="38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ht="15.75" customHeight="1" spans="1:25">
      <c r="A222" s="36"/>
      <c r="B222" s="15"/>
      <c r="C222" s="38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ht="15.75" customHeight="1" spans="1:25">
      <c r="A223" s="36"/>
      <c r="B223" s="15"/>
      <c r="C223" s="38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ht="15.75" customHeight="1" spans="1:25">
      <c r="A224" s="36"/>
      <c r="B224" s="15"/>
      <c r="C224" s="38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ht="15.75" customHeight="1" spans="1:25">
      <c r="A225" s="36"/>
      <c r="B225" s="15"/>
      <c r="C225" s="38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ht="15.75" customHeight="1" spans="1:25">
      <c r="A226" s="36"/>
      <c r="B226" s="15"/>
      <c r="C226" s="38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ht="15.75" customHeight="1" spans="1:25">
      <c r="A227" s="36"/>
      <c r="B227" s="15"/>
      <c r="C227" s="38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ht="15.75" customHeight="1" spans="1:25">
      <c r="A228" s="36"/>
      <c r="B228" s="15"/>
      <c r="C228" s="38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ht="15.75" customHeight="1" spans="1:25">
      <c r="A229" s="36"/>
      <c r="B229" s="15"/>
      <c r="C229" s="38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ht="15.75" customHeight="1" spans="1:25">
      <c r="A230" s="36"/>
      <c r="B230" s="15"/>
      <c r="C230" s="38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ht="15.75" customHeight="1" spans="1:25">
      <c r="A231" s="36"/>
      <c r="B231" s="15"/>
      <c r="C231" s="38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ht="15.75" customHeight="1" spans="1:25">
      <c r="A232" s="36"/>
      <c r="B232" s="15"/>
      <c r="C232" s="38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ht="15.75" customHeight="1" spans="1:25">
      <c r="A233" s="36"/>
      <c r="B233" s="15"/>
      <c r="C233" s="38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ht="15.75" customHeight="1" spans="1:25">
      <c r="A234" s="36"/>
      <c r="B234" s="15"/>
      <c r="C234" s="38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ht="15.75" customHeight="1" spans="1:25">
      <c r="A235" s="36"/>
      <c r="B235" s="15"/>
      <c r="C235" s="38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ht="15.75" customHeight="1" spans="1:25">
      <c r="A236" s="36"/>
      <c r="B236" s="15"/>
      <c r="C236" s="38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ht="15.75" customHeight="1" spans="1:25">
      <c r="A237" s="36"/>
      <c r="B237" s="15"/>
      <c r="C237" s="38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ht="15.75" customHeight="1" spans="1:25">
      <c r="A238" s="36"/>
      <c r="B238" s="15"/>
      <c r="C238" s="38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ht="15.75" customHeight="1" spans="1:25">
      <c r="A239" s="36"/>
      <c r="B239" s="15"/>
      <c r="C239" s="38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ht="15.75" customHeight="1" spans="1:25">
      <c r="A240" s="36"/>
      <c r="B240" s="15"/>
      <c r="C240" s="38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ht="15.75" customHeight="1" spans="1:25">
      <c r="A241" s="36"/>
      <c r="B241" s="15"/>
      <c r="C241" s="38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ht="15.75" customHeight="1" spans="1:25">
      <c r="A242" s="36"/>
      <c r="B242" s="15"/>
      <c r="C242" s="38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ht="15.75" customHeight="1" spans="1:25">
      <c r="A243" s="36"/>
      <c r="B243" s="15"/>
      <c r="C243" s="38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ht="15.75" customHeight="1" spans="1:25">
      <c r="A244" s="36"/>
      <c r="B244" s="15"/>
      <c r="C244" s="38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ht="15.75" customHeight="1" spans="1:25">
      <c r="A245" s="36"/>
      <c r="B245" s="15"/>
      <c r="C245" s="38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ht="15.75" customHeight="1" spans="1:25">
      <c r="A246" s="36"/>
      <c r="B246" s="15"/>
      <c r="C246" s="38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ht="15.75" customHeight="1" spans="1:25">
      <c r="A247" s="36"/>
      <c r="B247" s="15"/>
      <c r="C247" s="38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ht="15.75" customHeight="1" spans="1:25">
      <c r="A248" s="36"/>
      <c r="B248" s="15"/>
      <c r="C248" s="38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ht="15.75" customHeight="1" spans="1:25">
      <c r="A249" s="36"/>
      <c r="B249" s="15"/>
      <c r="C249" s="38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ht="15.75" customHeight="1" spans="1:25">
      <c r="A250" s="36"/>
      <c r="B250" s="15"/>
      <c r="C250" s="38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ht="15.75" customHeight="1" spans="1:25">
      <c r="A251" s="36"/>
      <c r="B251" s="15"/>
      <c r="C251" s="38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ht="15.75" customHeight="1" spans="1:25">
      <c r="A252" s="36"/>
      <c r="B252" s="15"/>
      <c r="C252" s="38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ht="15.75" customHeight="1" spans="1:25">
      <c r="A253" s="36"/>
      <c r="B253" s="15"/>
      <c r="C253" s="38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ht="15.75" customHeight="1" spans="1:25">
      <c r="A254" s="36"/>
      <c r="B254" s="15"/>
      <c r="C254" s="38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ht="15.75" customHeight="1" spans="1:25">
      <c r="A255" s="36"/>
      <c r="B255" s="15"/>
      <c r="C255" s="38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ht="15.75" customHeight="1" spans="1:25">
      <c r="A256" s="36"/>
      <c r="B256" s="15"/>
      <c r="C256" s="38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ht="15.75" customHeight="1" spans="1:25">
      <c r="A257" s="36"/>
      <c r="B257" s="15"/>
      <c r="C257" s="38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ht="15.75" customHeight="1" spans="1:25">
      <c r="A258" s="36"/>
      <c r="B258" s="15"/>
      <c r="C258" s="38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ht="15.75" customHeight="1" spans="1:25">
      <c r="A259" s="36"/>
      <c r="B259" s="15"/>
      <c r="C259" s="38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ht="15.75" customHeight="1" spans="1:25">
      <c r="A260" s="36"/>
      <c r="B260" s="15"/>
      <c r="C260" s="38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ht="15.75" customHeight="1" spans="1:25">
      <c r="A261" s="36"/>
      <c r="B261" s="15"/>
      <c r="C261" s="38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ht="15.75" customHeight="1" spans="1:25">
      <c r="A262" s="36"/>
      <c r="B262" s="15"/>
      <c r="C262" s="38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ht="15.75" customHeight="1" spans="1:25">
      <c r="A263" s="36"/>
      <c r="B263" s="15"/>
      <c r="C263" s="38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ht="15.75" customHeight="1" spans="1:25">
      <c r="A264" s="36"/>
      <c r="B264" s="15"/>
      <c r="C264" s="38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ht="15.75" customHeight="1" spans="1:25">
      <c r="A265" s="36"/>
      <c r="B265" s="15"/>
      <c r="C265" s="38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ht="15.75" customHeight="1" spans="1:25">
      <c r="A266" s="36"/>
      <c r="B266" s="15"/>
      <c r="C266" s="38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ht="15.75" customHeight="1" spans="1:25">
      <c r="A267" s="36"/>
      <c r="B267" s="15"/>
      <c r="C267" s="38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ht="15.75" customHeight="1" spans="1:25">
      <c r="A268" s="36"/>
      <c r="B268" s="15"/>
      <c r="C268" s="38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ht="15.75" customHeight="1" spans="1:25">
      <c r="A269" s="36"/>
      <c r="B269" s="15"/>
      <c r="C269" s="38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ht="15.75" customHeight="1" spans="1:25">
      <c r="A270" s="36"/>
      <c r="B270" s="15"/>
      <c r="C270" s="38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ht="15.75" customHeight="1" spans="1:25">
      <c r="A271" s="36"/>
      <c r="B271" s="15"/>
      <c r="C271" s="38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ht="15.75" customHeight="1" spans="1:25">
      <c r="A272" s="36"/>
      <c r="B272" s="15"/>
      <c r="C272" s="38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ht="15.75" customHeight="1" spans="1:25">
      <c r="A273" s="36"/>
      <c r="B273" s="15"/>
      <c r="C273" s="38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ht="15.75" customHeight="1" spans="1:25">
      <c r="A274" s="36"/>
      <c r="B274" s="15"/>
      <c r="C274" s="38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ht="15.75" customHeight="1" spans="1:25">
      <c r="A275" s="36"/>
      <c r="B275" s="15"/>
      <c r="C275" s="38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ht="15.75" customHeight="1" spans="1:25">
      <c r="A276" s="36"/>
      <c r="B276" s="15"/>
      <c r="C276" s="38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ht="15.75" customHeight="1" spans="1:25">
      <c r="A277" s="36"/>
      <c r="B277" s="15"/>
      <c r="C277" s="38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ht="15.75" customHeight="1" spans="1:25">
      <c r="A278" s="36"/>
      <c r="B278" s="15"/>
      <c r="C278" s="38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ht="15.75" customHeight="1" spans="1:25">
      <c r="A279" s="36"/>
      <c r="B279" s="15"/>
      <c r="C279" s="38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ht="15.75" customHeight="1" spans="1:25">
      <c r="A280" s="36"/>
      <c r="B280" s="15"/>
      <c r="C280" s="38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ht="15.75" customHeight="1" spans="1:25">
      <c r="A281" s="36"/>
      <c r="B281" s="15"/>
      <c r="C281" s="38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 ht="15.75" customHeight="1" spans="1:25">
      <c r="A282" s="36"/>
      <c r="B282" s="15"/>
      <c r="C282" s="38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 ht="15.75" customHeight="1" spans="1:25">
      <c r="A283" s="36"/>
      <c r="B283" s="15"/>
      <c r="C283" s="38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ht="15.75" customHeight="1" spans="1:25">
      <c r="A284" s="36"/>
      <c r="B284" s="15"/>
      <c r="C284" s="38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 ht="15.75" customHeight="1" spans="1:25">
      <c r="A285" s="36"/>
      <c r="B285" s="15"/>
      <c r="C285" s="38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 ht="15.75" customHeight="1" spans="1:25">
      <c r="A286" s="36"/>
      <c r="B286" s="15"/>
      <c r="C286" s="38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 ht="15.75" customHeight="1" spans="1:25">
      <c r="A287" s="36"/>
      <c r="B287" s="15"/>
      <c r="C287" s="38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 ht="15.75" customHeight="1" spans="1:25">
      <c r="A288" s="36"/>
      <c r="B288" s="15"/>
      <c r="C288" s="38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ht="15.75" customHeight="1" spans="1:25">
      <c r="A289" s="36"/>
      <c r="B289" s="15"/>
      <c r="C289" s="38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 ht="15.75" customHeight="1" spans="1:25">
      <c r="A290" s="36"/>
      <c r="B290" s="15"/>
      <c r="C290" s="38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 ht="15.75" customHeight="1" spans="1:25">
      <c r="A291" s="36"/>
      <c r="B291" s="15"/>
      <c r="C291" s="38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 ht="15.75" customHeight="1" spans="1:25">
      <c r="A292" s="36"/>
      <c r="B292" s="15"/>
      <c r="C292" s="38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 ht="15.75" customHeight="1" spans="1:25">
      <c r="A293" s="36"/>
      <c r="B293" s="15"/>
      <c r="C293" s="38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 ht="15.75" customHeight="1" spans="1:25">
      <c r="A294" s="36"/>
      <c r="B294" s="15"/>
      <c r="C294" s="38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ht="15.75" customHeight="1" spans="1:25">
      <c r="A295" s="36"/>
      <c r="B295" s="15"/>
      <c r="C295" s="38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 ht="15.75" customHeight="1" spans="1:25">
      <c r="A296" s="36"/>
      <c r="B296" s="15"/>
      <c r="C296" s="38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 ht="15.75" customHeight="1" spans="1:25">
      <c r="A297" s="36"/>
      <c r="B297" s="15"/>
      <c r="C297" s="38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 ht="15.75" customHeight="1" spans="1:25">
      <c r="A298" s="36"/>
      <c r="B298" s="15"/>
      <c r="C298" s="38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 ht="15.75" customHeight="1" spans="1:25">
      <c r="A299" s="36"/>
      <c r="B299" s="15"/>
      <c r="C299" s="38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ht="15.75" customHeight="1" spans="1:25">
      <c r="A300" s="36"/>
      <c r="B300" s="15"/>
      <c r="C300" s="38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 ht="15.75" customHeight="1" spans="1:25">
      <c r="A301" s="36"/>
      <c r="B301" s="15"/>
      <c r="C301" s="38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 ht="15.75" customHeight="1" spans="1:25">
      <c r="A302" s="36"/>
      <c r="B302" s="15"/>
      <c r="C302" s="38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 ht="15.75" customHeight="1" spans="1:25">
      <c r="A303" s="36"/>
      <c r="B303" s="15"/>
      <c r="C303" s="38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 ht="15.75" customHeight="1" spans="1:25">
      <c r="A304" s="36"/>
      <c r="B304" s="15"/>
      <c r="C304" s="38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 ht="15.75" customHeight="1" spans="1:25">
      <c r="A305" s="36"/>
      <c r="B305" s="15"/>
      <c r="C305" s="38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ht="15.75" customHeight="1" spans="1:25">
      <c r="A306" s="36"/>
      <c r="B306" s="15"/>
      <c r="C306" s="38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ht="15.75" customHeight="1" spans="1:25">
      <c r="A307" s="36"/>
      <c r="B307" s="15"/>
      <c r="C307" s="38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 ht="15.75" customHeight="1" spans="1:25">
      <c r="A308" s="36"/>
      <c r="B308" s="15"/>
      <c r="C308" s="38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 ht="15.75" customHeight="1" spans="1:25">
      <c r="A309" s="36"/>
      <c r="B309" s="15"/>
      <c r="C309" s="38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ht="15.75" customHeight="1" spans="1:25">
      <c r="A310" s="36"/>
      <c r="B310" s="15"/>
      <c r="C310" s="38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ht="15.75" customHeight="1" spans="1:25">
      <c r="A311" s="36"/>
      <c r="B311" s="15"/>
      <c r="C311" s="38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 ht="15.75" customHeight="1" spans="1:25">
      <c r="A312" s="36"/>
      <c r="B312" s="15"/>
      <c r="C312" s="38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ht="15.75" customHeight="1" spans="1:25">
      <c r="A313" s="36"/>
      <c r="B313" s="15"/>
      <c r="C313" s="38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 ht="15.75" customHeight="1" spans="1:25">
      <c r="A314" s="36"/>
      <c r="B314" s="15"/>
      <c r="C314" s="38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 ht="15.75" customHeight="1" spans="1:25">
      <c r="A315" s="36"/>
      <c r="B315" s="15"/>
      <c r="C315" s="38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 ht="15.75" customHeight="1" spans="1:25">
      <c r="A316" s="36"/>
      <c r="B316" s="15"/>
      <c r="C316" s="38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ht="15.75" customHeight="1" spans="1:25">
      <c r="A317" s="36"/>
      <c r="B317" s="15"/>
      <c r="C317" s="38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 ht="15.75" customHeight="1" spans="1:25">
      <c r="A318" s="36"/>
      <c r="B318" s="15"/>
      <c r="C318" s="38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 ht="15.75" customHeight="1" spans="1:25">
      <c r="A319" s="36"/>
      <c r="B319" s="15"/>
      <c r="C319" s="38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 ht="15.75" customHeight="1" spans="1:25">
      <c r="A320" s="36"/>
      <c r="B320" s="15"/>
      <c r="C320" s="38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 ht="15.75" customHeight="1" spans="1:25">
      <c r="A321" s="36"/>
      <c r="B321" s="15"/>
      <c r="C321" s="38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ht="15.75" customHeight="1" spans="1:25">
      <c r="A322" s="36"/>
      <c r="B322" s="15"/>
      <c r="C322" s="38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 ht="15.75" customHeight="1" spans="1:25">
      <c r="A323" s="36"/>
      <c r="B323" s="15"/>
      <c r="C323" s="38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 ht="15.75" customHeight="1" spans="1:25">
      <c r="A324" s="36"/>
      <c r="B324" s="15"/>
      <c r="C324" s="38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 ht="15.75" customHeight="1" spans="1:25">
      <c r="A325" s="36"/>
      <c r="B325" s="15"/>
      <c r="C325" s="38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 ht="15.75" customHeight="1" spans="1:25">
      <c r="A326" s="36"/>
      <c r="B326" s="15"/>
      <c r="C326" s="38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ht="15.75" customHeight="1" spans="1:25">
      <c r="A327" s="36"/>
      <c r="B327" s="15"/>
      <c r="C327" s="38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ht="15.75" customHeight="1" spans="1:25">
      <c r="A328" s="36"/>
      <c r="B328" s="15"/>
      <c r="C328" s="38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ht="15.75" customHeight="1" spans="1:25">
      <c r="A329" s="36"/>
      <c r="B329" s="15"/>
      <c r="C329" s="38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ht="15.75" customHeight="1" spans="1:25">
      <c r="A330" s="36"/>
      <c r="B330" s="15"/>
      <c r="C330" s="38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ht="15.75" customHeight="1" spans="1:25">
      <c r="A331" s="36"/>
      <c r="B331" s="15"/>
      <c r="C331" s="38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ht="15.75" customHeight="1" spans="1:25">
      <c r="A332" s="36"/>
      <c r="B332" s="15"/>
      <c r="C332" s="38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ht="15.75" customHeight="1" spans="1:25">
      <c r="A333" s="36"/>
      <c r="B333" s="15"/>
      <c r="C333" s="38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ht="15.75" customHeight="1" spans="1:25">
      <c r="A334" s="36"/>
      <c r="B334" s="15"/>
      <c r="C334" s="38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ht="15.75" customHeight="1" spans="1:25">
      <c r="A335" s="36"/>
      <c r="B335" s="15"/>
      <c r="C335" s="38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ht="15.75" customHeight="1" spans="1:25">
      <c r="A336" s="36"/>
      <c r="B336" s="15"/>
      <c r="C336" s="38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ht="15.75" customHeight="1" spans="1:25">
      <c r="A337" s="36"/>
      <c r="B337" s="15"/>
      <c r="C337" s="38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ht="15.75" customHeight="1" spans="1:25">
      <c r="A338" s="36"/>
      <c r="B338" s="15"/>
      <c r="C338" s="38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ht="15.75" customHeight="1" spans="1:25">
      <c r="A339" s="36"/>
      <c r="B339" s="15"/>
      <c r="C339" s="38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ht="15.75" customHeight="1" spans="1:25">
      <c r="A340" s="36"/>
      <c r="B340" s="15"/>
      <c r="C340" s="38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ht="15.75" customHeight="1" spans="1:25">
      <c r="A341" s="36"/>
      <c r="B341" s="15"/>
      <c r="C341" s="38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ht="15.75" customHeight="1" spans="1:25">
      <c r="A342" s="36"/>
      <c r="B342" s="15"/>
      <c r="C342" s="38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ht="15.75" customHeight="1" spans="1:25">
      <c r="A343" s="36"/>
      <c r="B343" s="15"/>
      <c r="C343" s="38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ht="15.75" customHeight="1" spans="1:25">
      <c r="A344" s="36"/>
      <c r="B344" s="15"/>
      <c r="C344" s="38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ht="15.75" customHeight="1" spans="1:25">
      <c r="A345" s="36"/>
      <c r="B345" s="15"/>
      <c r="C345" s="38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ht="15.75" customHeight="1" spans="1:25">
      <c r="A346" s="36"/>
      <c r="B346" s="15"/>
      <c r="C346" s="38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ht="15.75" customHeight="1" spans="1:25">
      <c r="A347" s="36"/>
      <c r="B347" s="15"/>
      <c r="C347" s="38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ht="15.75" customHeight="1" spans="1:25">
      <c r="A348" s="36"/>
      <c r="B348" s="15"/>
      <c r="C348" s="38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ht="15.75" customHeight="1" spans="1:25">
      <c r="A349" s="36"/>
      <c r="B349" s="15"/>
      <c r="C349" s="38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ht="15.75" customHeight="1" spans="1:25">
      <c r="A350" s="36"/>
      <c r="B350" s="15"/>
      <c r="C350" s="38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ht="15.75" customHeight="1" spans="1:25">
      <c r="A351" s="36"/>
      <c r="B351" s="15"/>
      <c r="C351" s="38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ht="15.75" customHeight="1" spans="1:25">
      <c r="A352" s="36"/>
      <c r="B352" s="15"/>
      <c r="C352" s="38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ht="15.75" customHeight="1" spans="1:25">
      <c r="A353" s="36"/>
      <c r="B353" s="15"/>
      <c r="C353" s="38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ht="15.75" customHeight="1" spans="1:25">
      <c r="A354" s="36"/>
      <c r="B354" s="15"/>
      <c r="C354" s="38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ht="15.75" customHeight="1" spans="1:25">
      <c r="A355" s="36"/>
      <c r="B355" s="15"/>
      <c r="C355" s="38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ht="15.75" customHeight="1" spans="1:25">
      <c r="A356" s="36"/>
      <c r="B356" s="15"/>
      <c r="C356" s="38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ht="15.75" customHeight="1" spans="1:25">
      <c r="A357" s="36"/>
      <c r="B357" s="15"/>
      <c r="C357" s="38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ht="15.75" customHeight="1" spans="1:25">
      <c r="A358" s="36"/>
      <c r="B358" s="15"/>
      <c r="C358" s="38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ht="15.75" customHeight="1" spans="1:25">
      <c r="A359" s="36"/>
      <c r="B359" s="15"/>
      <c r="C359" s="38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ht="15.75" customHeight="1" spans="1:25">
      <c r="A360" s="36"/>
      <c r="B360" s="15"/>
      <c r="C360" s="38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ht="15.75" customHeight="1" spans="1:25">
      <c r="A361" s="36"/>
      <c r="B361" s="15"/>
      <c r="C361" s="38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ht="15.75" customHeight="1" spans="1:25">
      <c r="A362" s="36"/>
      <c r="B362" s="15"/>
      <c r="C362" s="38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ht="15.75" customHeight="1" spans="1:25">
      <c r="A363" s="36"/>
      <c r="B363" s="15"/>
      <c r="C363" s="38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ht="15.75" customHeight="1" spans="1:25">
      <c r="A364" s="36"/>
      <c r="B364" s="15"/>
      <c r="C364" s="38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ht="15.75" customHeight="1" spans="1:25">
      <c r="A365" s="36"/>
      <c r="B365" s="15"/>
      <c r="C365" s="38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ht="15.75" customHeight="1" spans="1:25">
      <c r="A366" s="36"/>
      <c r="B366" s="15"/>
      <c r="C366" s="38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ht="15.75" customHeight="1" spans="1:25">
      <c r="A367" s="36"/>
      <c r="B367" s="15"/>
      <c r="C367" s="38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ht="15.75" customHeight="1" spans="1:25">
      <c r="A368" s="36"/>
      <c r="B368" s="15"/>
      <c r="C368" s="38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ht="15.75" customHeight="1" spans="1:25">
      <c r="A369" s="36"/>
      <c r="B369" s="15"/>
      <c r="C369" s="38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ht="15.75" customHeight="1" spans="1:25">
      <c r="A370" s="36"/>
      <c r="B370" s="15"/>
      <c r="C370" s="38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ht="15.75" customHeight="1" spans="1:25">
      <c r="A371" s="36"/>
      <c r="B371" s="15"/>
      <c r="C371" s="38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ht="15.75" customHeight="1" spans="1:25">
      <c r="A372" s="36"/>
      <c r="B372" s="15"/>
      <c r="C372" s="38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ht="15.75" customHeight="1" spans="1:25">
      <c r="A373" s="36"/>
      <c r="B373" s="15"/>
      <c r="C373" s="38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ht="15.75" customHeight="1" spans="1:25">
      <c r="A374" s="36"/>
      <c r="B374" s="15"/>
      <c r="C374" s="38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ht="15.75" customHeight="1" spans="1:25">
      <c r="A375" s="36"/>
      <c r="B375" s="15"/>
      <c r="C375" s="38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ht="15.75" customHeight="1" spans="1:25">
      <c r="A376" s="36"/>
      <c r="B376" s="15"/>
      <c r="C376" s="38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ht="15.75" customHeight="1" spans="1:25">
      <c r="A377" s="36"/>
      <c r="B377" s="15"/>
      <c r="C377" s="38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ht="15.75" customHeight="1" spans="1:25">
      <c r="A378" s="36"/>
      <c r="B378" s="15"/>
      <c r="C378" s="38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ht="15.75" customHeight="1" spans="1:25">
      <c r="A379" s="36"/>
      <c r="B379" s="15"/>
      <c r="C379" s="38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ht="15.75" customHeight="1" spans="1:25">
      <c r="A380" s="36"/>
      <c r="B380" s="15"/>
      <c r="C380" s="38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ht="15.75" customHeight="1" spans="1:25">
      <c r="A381" s="36"/>
      <c r="B381" s="15"/>
      <c r="C381" s="38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ht="15.75" customHeight="1" spans="1:25">
      <c r="A382" s="36"/>
      <c r="B382" s="15"/>
      <c r="C382" s="38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ht="15.75" customHeight="1" spans="1:25">
      <c r="A383" s="36"/>
      <c r="B383" s="15"/>
      <c r="C383" s="38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ht="15.75" customHeight="1" spans="1:25">
      <c r="A384" s="36"/>
      <c r="B384" s="15"/>
      <c r="C384" s="38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ht="15.75" customHeight="1" spans="1:25">
      <c r="A385" s="36"/>
      <c r="B385" s="15"/>
      <c r="C385" s="38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ht="15.75" customHeight="1" spans="1:25">
      <c r="A386" s="36"/>
      <c r="B386" s="15"/>
      <c r="C386" s="38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ht="15.75" customHeight="1" spans="1:25">
      <c r="A387" s="36"/>
      <c r="B387" s="15"/>
      <c r="C387" s="38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ht="15.75" customHeight="1" spans="1:25">
      <c r="A388" s="36"/>
      <c r="B388" s="15"/>
      <c r="C388" s="38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ht="15.75" customHeight="1" spans="1:25">
      <c r="A389" s="36"/>
      <c r="B389" s="15"/>
      <c r="C389" s="38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ht="15.75" customHeight="1" spans="1:25">
      <c r="A390" s="36"/>
      <c r="B390" s="15"/>
      <c r="C390" s="38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ht="15.75" customHeight="1" spans="1:25">
      <c r="A391" s="36"/>
      <c r="B391" s="15"/>
      <c r="C391" s="38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ht="15.75" customHeight="1" spans="1:25">
      <c r="A392" s="36"/>
      <c r="B392" s="15"/>
      <c r="C392" s="38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ht="15.75" customHeight="1" spans="1:25">
      <c r="A393" s="36"/>
      <c r="B393" s="15"/>
      <c r="C393" s="38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ht="15.75" customHeight="1" spans="1:25">
      <c r="A394" s="36"/>
      <c r="B394" s="15"/>
      <c r="C394" s="38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ht="15.75" customHeight="1" spans="1:25">
      <c r="A395" s="36"/>
      <c r="B395" s="15"/>
      <c r="C395" s="38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ht="15.75" customHeight="1" spans="1:25">
      <c r="A396" s="36"/>
      <c r="B396" s="15"/>
      <c r="C396" s="38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ht="15.75" customHeight="1" spans="1:25">
      <c r="A397" s="36"/>
      <c r="B397" s="15"/>
      <c r="C397" s="38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ht="15.75" customHeight="1" spans="1:25">
      <c r="A398" s="36"/>
      <c r="B398" s="15"/>
      <c r="C398" s="38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ht="15.75" customHeight="1" spans="1:25">
      <c r="A399" s="36"/>
      <c r="B399" s="15"/>
      <c r="C399" s="38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ht="15.75" customHeight="1" spans="1:25">
      <c r="A400" s="36"/>
      <c r="B400" s="15"/>
      <c r="C400" s="38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ht="15.75" customHeight="1" spans="1:25">
      <c r="A401" s="36"/>
      <c r="B401" s="15"/>
      <c r="C401" s="38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ht="15.75" customHeight="1" spans="1:25">
      <c r="A402" s="36"/>
      <c r="B402" s="15"/>
      <c r="C402" s="38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ht="15.75" customHeight="1" spans="1:25">
      <c r="A403" s="36"/>
      <c r="B403" s="15"/>
      <c r="C403" s="38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ht="15.75" customHeight="1" spans="1:25">
      <c r="A404" s="36"/>
      <c r="B404" s="15"/>
      <c r="C404" s="38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ht="15.75" customHeight="1" spans="1:25">
      <c r="A405" s="36"/>
      <c r="B405" s="15"/>
      <c r="C405" s="38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ht="15.75" customHeight="1" spans="1:25">
      <c r="A406" s="36"/>
      <c r="B406" s="15"/>
      <c r="C406" s="38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ht="15.75" customHeight="1" spans="1:25">
      <c r="A407" s="36"/>
      <c r="B407" s="15"/>
      <c r="C407" s="38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ht="15.75" customHeight="1" spans="1:25">
      <c r="A408" s="36"/>
      <c r="B408" s="15"/>
      <c r="C408" s="38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ht="15.75" customHeight="1" spans="1:25">
      <c r="A409" s="36"/>
      <c r="B409" s="15"/>
      <c r="C409" s="38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ht="15.75" customHeight="1" spans="1:25">
      <c r="A410" s="36"/>
      <c r="B410" s="15"/>
      <c r="C410" s="38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ht="15.75" customHeight="1" spans="1:25">
      <c r="A411" s="36"/>
      <c r="B411" s="15"/>
      <c r="C411" s="38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ht="15.75" customHeight="1" spans="1:25">
      <c r="A412" s="36"/>
      <c r="B412" s="15"/>
      <c r="C412" s="38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ht="15.75" customHeight="1" spans="1:25">
      <c r="A413" s="36"/>
      <c r="B413" s="15"/>
      <c r="C413" s="38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ht="15.75" customHeight="1" spans="1:25">
      <c r="A414" s="36"/>
      <c r="B414" s="15"/>
      <c r="C414" s="38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ht="15.75" customHeight="1" spans="1:25">
      <c r="A415" s="36"/>
      <c r="B415" s="15"/>
      <c r="C415" s="38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ht="15.75" customHeight="1" spans="1:25">
      <c r="A416" s="36"/>
      <c r="B416" s="15"/>
      <c r="C416" s="38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ht="15.75" customHeight="1" spans="1:25">
      <c r="A417" s="36"/>
      <c r="B417" s="15"/>
      <c r="C417" s="38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ht="15.75" customHeight="1" spans="1:25">
      <c r="A418" s="36"/>
      <c r="B418" s="15"/>
      <c r="C418" s="38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ht="15.75" customHeight="1" spans="1:25">
      <c r="A419" s="36"/>
      <c r="B419" s="15"/>
      <c r="C419" s="38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ht="15.75" customHeight="1" spans="1:25">
      <c r="A420" s="36"/>
      <c r="B420" s="15"/>
      <c r="C420" s="38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ht="15.75" customHeight="1" spans="1:25">
      <c r="A421" s="36"/>
      <c r="B421" s="15"/>
      <c r="C421" s="38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ht="15.75" customHeight="1" spans="1:25">
      <c r="A422" s="36"/>
      <c r="B422" s="15"/>
      <c r="C422" s="38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ht="15.75" customHeight="1" spans="1:25">
      <c r="A423" s="36"/>
      <c r="B423" s="15"/>
      <c r="C423" s="38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ht="15.75" customHeight="1" spans="1:25">
      <c r="A424" s="36"/>
      <c r="B424" s="15"/>
      <c r="C424" s="38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ht="15.75" customHeight="1" spans="1:25">
      <c r="A425" s="36"/>
      <c r="B425" s="15"/>
      <c r="C425" s="38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ht="15.75" customHeight="1" spans="1:25">
      <c r="A426" s="36"/>
      <c r="B426" s="15"/>
      <c r="C426" s="38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ht="15.75" customHeight="1" spans="1:25">
      <c r="A427" s="36"/>
      <c r="B427" s="15"/>
      <c r="C427" s="38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ht="15.75" customHeight="1" spans="1:25">
      <c r="A428" s="36"/>
      <c r="B428" s="15"/>
      <c r="C428" s="38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ht="15.75" customHeight="1" spans="1:25">
      <c r="A429" s="36"/>
      <c r="B429" s="15"/>
      <c r="C429" s="38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ht="15.75" customHeight="1" spans="1:25">
      <c r="A430" s="36"/>
      <c r="B430" s="15"/>
      <c r="C430" s="38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ht="15.75" customHeight="1" spans="1:25">
      <c r="A431" s="36"/>
      <c r="B431" s="15"/>
      <c r="C431" s="38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ht="15.75" customHeight="1" spans="1:25">
      <c r="A432" s="36"/>
      <c r="B432" s="15"/>
      <c r="C432" s="38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ht="15.75" customHeight="1" spans="1:25">
      <c r="A433" s="36"/>
      <c r="B433" s="15"/>
      <c r="C433" s="38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ht="15.75" customHeight="1" spans="1:25">
      <c r="A434" s="36"/>
      <c r="B434" s="15"/>
      <c r="C434" s="38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ht="15.75" customHeight="1" spans="1:25">
      <c r="A435" s="36"/>
      <c r="B435" s="15"/>
      <c r="C435" s="38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ht="15.75" customHeight="1" spans="1:25">
      <c r="A436" s="36"/>
      <c r="B436" s="15"/>
      <c r="C436" s="38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ht="15.75" customHeight="1" spans="1:25">
      <c r="A437" s="36"/>
      <c r="B437" s="15"/>
      <c r="C437" s="38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ht="15.75" customHeight="1" spans="1:25">
      <c r="A438" s="36"/>
      <c r="B438" s="15"/>
      <c r="C438" s="38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ht="15.75" customHeight="1" spans="1:25">
      <c r="A439" s="36"/>
      <c r="B439" s="15"/>
      <c r="C439" s="38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ht="15.75" customHeight="1" spans="1:25">
      <c r="A440" s="36"/>
      <c r="B440" s="15"/>
      <c r="C440" s="38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ht="15.75" customHeight="1" spans="1:25">
      <c r="A441" s="36"/>
      <c r="B441" s="15"/>
      <c r="C441" s="38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ht="15.75" customHeight="1" spans="1:25">
      <c r="A442" s="36"/>
      <c r="B442" s="15"/>
      <c r="C442" s="38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ht="15.75" customHeight="1" spans="1:25">
      <c r="A443" s="36"/>
      <c r="B443" s="15"/>
      <c r="C443" s="38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ht="15.75" customHeight="1" spans="1:25">
      <c r="A444" s="36"/>
      <c r="B444" s="15"/>
      <c r="C444" s="38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ht="15.75" customHeight="1" spans="1:25">
      <c r="A445" s="36"/>
      <c r="B445" s="15"/>
      <c r="C445" s="38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ht="15.75" customHeight="1" spans="1:25">
      <c r="A446" s="36"/>
      <c r="B446" s="15"/>
      <c r="C446" s="38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ht="15.75" customHeight="1" spans="1:25">
      <c r="A447" s="36"/>
      <c r="B447" s="15"/>
      <c r="C447" s="38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ht="15.75" customHeight="1" spans="1:25">
      <c r="A448" s="36"/>
      <c r="B448" s="15"/>
      <c r="C448" s="38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ht="15.75" customHeight="1" spans="1:25">
      <c r="A449" s="36"/>
      <c r="B449" s="15"/>
      <c r="C449" s="38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ht="15.75" customHeight="1" spans="1:25">
      <c r="A450" s="36"/>
      <c r="B450" s="15"/>
      <c r="C450" s="38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ht="15.75" customHeight="1" spans="1:25">
      <c r="A451" s="36"/>
      <c r="B451" s="15"/>
      <c r="C451" s="38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ht="15.75" customHeight="1" spans="1:25">
      <c r="A452" s="36"/>
      <c r="B452" s="15"/>
      <c r="C452" s="38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ht="15.75" customHeight="1" spans="1:25">
      <c r="A453" s="36"/>
      <c r="B453" s="15"/>
      <c r="C453" s="38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ht="15.75" customHeight="1" spans="1:25">
      <c r="A454" s="36"/>
      <c r="B454" s="15"/>
      <c r="C454" s="38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ht="15.75" customHeight="1" spans="1:25">
      <c r="A455" s="36"/>
      <c r="B455" s="15"/>
      <c r="C455" s="38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ht="15.75" customHeight="1" spans="1:25">
      <c r="A456" s="36"/>
      <c r="B456" s="15"/>
      <c r="C456" s="38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ht="15.75" customHeight="1" spans="1:25">
      <c r="A457" s="36"/>
      <c r="B457" s="15"/>
      <c r="C457" s="38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ht="15.75" customHeight="1" spans="1:25">
      <c r="A458" s="36"/>
      <c r="B458" s="15"/>
      <c r="C458" s="38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ht="15.75" customHeight="1" spans="1:25">
      <c r="A459" s="36"/>
      <c r="B459" s="15"/>
      <c r="C459" s="38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ht="15.75" customHeight="1" spans="1:25">
      <c r="A460" s="36"/>
      <c r="B460" s="15"/>
      <c r="C460" s="38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ht="15.75" customHeight="1" spans="1:25">
      <c r="A461" s="36"/>
      <c r="B461" s="15"/>
      <c r="C461" s="38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ht="15.75" customHeight="1" spans="1:25">
      <c r="A462" s="36"/>
      <c r="B462" s="15"/>
      <c r="C462" s="38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ht="15.75" customHeight="1" spans="1:25">
      <c r="A463" s="36"/>
      <c r="B463" s="15"/>
      <c r="C463" s="38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ht="15.75" customHeight="1" spans="1:25">
      <c r="A464" s="36"/>
      <c r="B464" s="15"/>
      <c r="C464" s="38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ht="15.75" customHeight="1" spans="1:25">
      <c r="A465" s="36"/>
      <c r="B465" s="15"/>
      <c r="C465" s="38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ht="15.75" customHeight="1" spans="1:25">
      <c r="A466" s="36"/>
      <c r="B466" s="15"/>
      <c r="C466" s="38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ht="15.75" customHeight="1" spans="1:25">
      <c r="A467" s="36"/>
      <c r="B467" s="15"/>
      <c r="C467" s="38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ht="15.75" customHeight="1" spans="1:25">
      <c r="A468" s="36"/>
      <c r="B468" s="15"/>
      <c r="C468" s="38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ht="15.75" customHeight="1" spans="1:25">
      <c r="A469" s="36"/>
      <c r="B469" s="15"/>
      <c r="C469" s="38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ht="15.75" customHeight="1" spans="1:25">
      <c r="A470" s="36"/>
      <c r="B470" s="15"/>
      <c r="C470" s="38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ht="15.75" customHeight="1" spans="1:25">
      <c r="A471" s="36"/>
      <c r="B471" s="15"/>
      <c r="C471" s="38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ht="15.75" customHeight="1" spans="1:25">
      <c r="A472" s="36"/>
      <c r="B472" s="15"/>
      <c r="C472" s="38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ht="15.75" customHeight="1" spans="1:25">
      <c r="A473" s="36"/>
      <c r="B473" s="15"/>
      <c r="C473" s="38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ht="15.75" customHeight="1" spans="1:25">
      <c r="A474" s="36"/>
      <c r="B474" s="15"/>
      <c r="C474" s="38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ht="15.75" customHeight="1" spans="1:25">
      <c r="A475" s="36"/>
      <c r="B475" s="15"/>
      <c r="C475" s="38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ht="15.75" customHeight="1" spans="1:25">
      <c r="A476" s="36"/>
      <c r="B476" s="15"/>
      <c r="C476" s="38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ht="15.75" customHeight="1" spans="1:25">
      <c r="A477" s="36"/>
      <c r="B477" s="15"/>
      <c r="C477" s="38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ht="15.75" customHeight="1" spans="1:25">
      <c r="A478" s="36"/>
      <c r="B478" s="15"/>
      <c r="C478" s="38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 ht="15.75" customHeight="1" spans="1:25">
      <c r="A479" s="36"/>
      <c r="B479" s="15"/>
      <c r="C479" s="38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 ht="15.75" customHeight="1" spans="1:25">
      <c r="A480" s="36"/>
      <c r="B480" s="15"/>
      <c r="C480" s="38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 ht="15.75" customHeight="1" spans="1:25">
      <c r="A481" s="36"/>
      <c r="B481" s="15"/>
      <c r="C481" s="38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 ht="15.75" customHeight="1" spans="1:25">
      <c r="A482" s="36"/>
      <c r="B482" s="15"/>
      <c r="C482" s="38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 ht="15.75" customHeight="1" spans="1:25">
      <c r="A483" s="36"/>
      <c r="B483" s="15"/>
      <c r="C483" s="38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 ht="15.75" customHeight="1" spans="1:25">
      <c r="A484" s="36"/>
      <c r="B484" s="15"/>
      <c r="C484" s="38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ht="15.75" customHeight="1" spans="1:25">
      <c r="A485" s="36"/>
      <c r="B485" s="15"/>
      <c r="C485" s="38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 ht="15.75" customHeight="1" spans="1:25">
      <c r="A486" s="36"/>
      <c r="B486" s="15"/>
      <c r="C486" s="38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 ht="15.75" customHeight="1" spans="1:25">
      <c r="A487" s="36"/>
      <c r="B487" s="15"/>
      <c r="C487" s="38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 ht="15.75" customHeight="1" spans="1:25">
      <c r="A488" s="36"/>
      <c r="B488" s="15"/>
      <c r="C488" s="38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ht="15.75" customHeight="1" spans="1:25">
      <c r="A489" s="36"/>
      <c r="B489" s="15"/>
      <c r="C489" s="38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 ht="15.75" customHeight="1" spans="1:25">
      <c r="A490" s="36"/>
      <c r="B490" s="15"/>
      <c r="C490" s="38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 ht="15.75" customHeight="1" spans="1:25">
      <c r="A491" s="36"/>
      <c r="B491" s="15"/>
      <c r="C491" s="38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 ht="15.75" customHeight="1" spans="1:25">
      <c r="A492" s="36"/>
      <c r="B492" s="15"/>
      <c r="C492" s="38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 ht="15.75" customHeight="1" spans="1:25">
      <c r="A493" s="36"/>
      <c r="B493" s="15"/>
      <c r="C493" s="38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 ht="15.75" customHeight="1" spans="1:25">
      <c r="A494" s="36"/>
      <c r="B494" s="15"/>
      <c r="C494" s="38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ht="15.75" customHeight="1" spans="1:25">
      <c r="A495" s="36"/>
      <c r="B495" s="15"/>
      <c r="C495" s="38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ht="15.75" customHeight="1" spans="1:25">
      <c r="A496" s="36"/>
      <c r="B496" s="15"/>
      <c r="C496" s="38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 ht="15.75" customHeight="1" spans="1:25">
      <c r="A497" s="36"/>
      <c r="B497" s="15"/>
      <c r="C497" s="38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 ht="15.75" customHeight="1" spans="1:25">
      <c r="A498" s="36"/>
      <c r="B498" s="15"/>
      <c r="C498" s="38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ht="15.75" customHeight="1" spans="1:25">
      <c r="A499" s="36"/>
      <c r="B499" s="15"/>
      <c r="C499" s="38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 ht="15.75" customHeight="1" spans="1:25">
      <c r="A500" s="36"/>
      <c r="B500" s="15"/>
      <c r="C500" s="38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 ht="15.75" customHeight="1" spans="1:25">
      <c r="A501" s="36"/>
      <c r="B501" s="15"/>
      <c r="C501" s="38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 ht="15.75" customHeight="1" spans="1:25">
      <c r="A502" s="36"/>
      <c r="B502" s="15"/>
      <c r="C502" s="38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ht="15.75" customHeight="1" spans="1:25">
      <c r="A503" s="36"/>
      <c r="B503" s="15"/>
      <c r="C503" s="38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 ht="15.75" customHeight="1" spans="1:25">
      <c r="A504" s="36"/>
      <c r="B504" s="15"/>
      <c r="C504" s="38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 ht="15.75" customHeight="1" spans="1:25">
      <c r="A505" s="36"/>
      <c r="B505" s="15"/>
      <c r="C505" s="38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 ht="15.75" customHeight="1" spans="1:25">
      <c r="A506" s="36"/>
      <c r="B506" s="15"/>
      <c r="C506" s="38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ht="15.75" customHeight="1" spans="1:25">
      <c r="A507" s="36"/>
      <c r="B507" s="15"/>
      <c r="C507" s="38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ht="15.75" customHeight="1" spans="1:25">
      <c r="A508" s="36"/>
      <c r="B508" s="15"/>
      <c r="C508" s="38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 ht="15.75" customHeight="1" spans="1:25">
      <c r="A509" s="36"/>
      <c r="B509" s="15"/>
      <c r="C509" s="38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 ht="15.75" customHeight="1" spans="1:25">
      <c r="A510" s="36"/>
      <c r="B510" s="15"/>
      <c r="C510" s="38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ht="15.75" customHeight="1" spans="1:25">
      <c r="A511" s="36"/>
      <c r="B511" s="15"/>
      <c r="C511" s="38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 ht="15.75" customHeight="1" spans="1:25">
      <c r="A512" s="36"/>
      <c r="B512" s="15"/>
      <c r="C512" s="38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 ht="15.75" customHeight="1" spans="1:25">
      <c r="A513" s="36"/>
      <c r="B513" s="15"/>
      <c r="C513" s="38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 ht="15.75" customHeight="1" spans="1:25">
      <c r="A514" s="36"/>
      <c r="B514" s="15"/>
      <c r="C514" s="38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 ht="15.75" customHeight="1" spans="1:25">
      <c r="A515" s="36"/>
      <c r="B515" s="15"/>
      <c r="C515" s="38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 ht="15.75" customHeight="1" spans="1:25">
      <c r="A516" s="36"/>
      <c r="B516" s="15"/>
      <c r="C516" s="38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ht="15.75" customHeight="1" spans="1:25">
      <c r="A517" s="36"/>
      <c r="B517" s="15"/>
      <c r="C517" s="38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 ht="15.75" customHeight="1" spans="1:25">
      <c r="A518" s="36"/>
      <c r="B518" s="15"/>
      <c r="C518" s="38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 ht="15.75" customHeight="1" spans="1:25">
      <c r="A519" s="36"/>
      <c r="B519" s="15"/>
      <c r="C519" s="38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 ht="15.75" customHeight="1" spans="1:25">
      <c r="A520" s="36"/>
      <c r="B520" s="15"/>
      <c r="C520" s="38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 ht="15.75" customHeight="1" spans="1:25">
      <c r="A521" s="36"/>
      <c r="B521" s="15"/>
      <c r="C521" s="38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ht="15.75" customHeight="1" spans="1:25">
      <c r="A522" s="36"/>
      <c r="B522" s="15"/>
      <c r="C522" s="38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ht="15.75" customHeight="1" spans="1:25">
      <c r="A523" s="36"/>
      <c r="B523" s="15"/>
      <c r="C523" s="38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 ht="15.75" customHeight="1" spans="1:25">
      <c r="A524" s="36"/>
      <c r="B524" s="15"/>
      <c r="C524" s="38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 ht="15.75" customHeight="1" spans="1:25">
      <c r="A525" s="36"/>
      <c r="B525" s="15"/>
      <c r="C525" s="38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ht="15.75" customHeight="1" spans="1:25">
      <c r="A526" s="36"/>
      <c r="B526" s="15"/>
      <c r="C526" s="38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 ht="15.75" customHeight="1" spans="1:25">
      <c r="A527" s="36"/>
      <c r="B527" s="15"/>
      <c r="C527" s="38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 ht="15.75" customHeight="1" spans="1:25">
      <c r="A528" s="36"/>
      <c r="B528" s="15"/>
      <c r="C528" s="38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 ht="15.75" customHeight="1" spans="1:25">
      <c r="A529" s="36"/>
      <c r="B529" s="15"/>
      <c r="C529" s="38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 ht="15.75" customHeight="1" spans="1:25">
      <c r="A530" s="36"/>
      <c r="B530" s="15"/>
      <c r="C530" s="38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 ht="15.75" customHeight="1" spans="1:25">
      <c r="A531" s="36"/>
      <c r="B531" s="15"/>
      <c r="C531" s="38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 ht="15.75" customHeight="1" spans="1:25">
      <c r="A532" s="36"/>
      <c r="B532" s="15"/>
      <c r="C532" s="38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 ht="15.75" customHeight="1" spans="1:25">
      <c r="A533" s="36"/>
      <c r="B533" s="15"/>
      <c r="C533" s="38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ht="15.75" customHeight="1" spans="1:25">
      <c r="A534" s="36"/>
      <c r="B534" s="15"/>
      <c r="C534" s="38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ht="15.75" customHeight="1" spans="1:25">
      <c r="A535" s="36"/>
      <c r="B535" s="15"/>
      <c r="C535" s="38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ht="15.75" customHeight="1" spans="1:25">
      <c r="A536" s="36"/>
      <c r="B536" s="15"/>
      <c r="C536" s="38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ht="15.75" customHeight="1" spans="1:25">
      <c r="A537" s="36"/>
      <c r="B537" s="15"/>
      <c r="C537" s="38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ht="15.75" customHeight="1" spans="1:25">
      <c r="A538" s="36"/>
      <c r="B538" s="15"/>
      <c r="C538" s="38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ht="15.75" customHeight="1" spans="1:25">
      <c r="A539" s="36"/>
      <c r="B539" s="15"/>
      <c r="C539" s="38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ht="15.75" customHeight="1" spans="1:25">
      <c r="A540" s="36"/>
      <c r="B540" s="15"/>
      <c r="C540" s="38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ht="15.75" customHeight="1" spans="1:25">
      <c r="A541" s="36"/>
      <c r="B541" s="15"/>
      <c r="C541" s="38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ht="15.75" customHeight="1" spans="1:25">
      <c r="A542" s="36"/>
      <c r="B542" s="15"/>
      <c r="C542" s="38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ht="15.75" customHeight="1" spans="1:25">
      <c r="A543" s="36"/>
      <c r="B543" s="15"/>
      <c r="C543" s="38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ht="15.75" customHeight="1" spans="1:25">
      <c r="A544" s="36"/>
      <c r="B544" s="15"/>
      <c r="C544" s="38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ht="15.75" customHeight="1" spans="1:25">
      <c r="A545" s="36"/>
      <c r="B545" s="15"/>
      <c r="C545" s="38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ht="15.75" customHeight="1" spans="1:25">
      <c r="A546" s="36"/>
      <c r="B546" s="15"/>
      <c r="C546" s="38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ht="15.75" customHeight="1" spans="1:25">
      <c r="A547" s="36"/>
      <c r="B547" s="15"/>
      <c r="C547" s="38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ht="15.75" customHeight="1" spans="1:25">
      <c r="A548" s="36"/>
      <c r="B548" s="15"/>
      <c r="C548" s="38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ht="15.75" customHeight="1" spans="1:25">
      <c r="A549" s="36"/>
      <c r="B549" s="15"/>
      <c r="C549" s="38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ht="15.75" customHeight="1" spans="1:25">
      <c r="A550" s="36"/>
      <c r="B550" s="15"/>
      <c r="C550" s="38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ht="15.75" customHeight="1" spans="1:25">
      <c r="A551" s="36"/>
      <c r="B551" s="15"/>
      <c r="C551" s="38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ht="15.75" customHeight="1" spans="1:25">
      <c r="A552" s="36"/>
      <c r="B552" s="15"/>
      <c r="C552" s="38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ht="15.75" customHeight="1" spans="1:25">
      <c r="A553" s="36"/>
      <c r="B553" s="15"/>
      <c r="C553" s="38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ht="15.75" customHeight="1" spans="1:25">
      <c r="A554" s="36"/>
      <c r="B554" s="15"/>
      <c r="C554" s="38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ht="15.75" customHeight="1" spans="1:25">
      <c r="A555" s="36"/>
      <c r="B555" s="15"/>
      <c r="C555" s="38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ht="15.75" customHeight="1" spans="1:25">
      <c r="A556" s="36"/>
      <c r="B556" s="15"/>
      <c r="C556" s="38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ht="15.75" customHeight="1" spans="1:25">
      <c r="A557" s="36"/>
      <c r="B557" s="15"/>
      <c r="C557" s="38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ht="15.75" customHeight="1" spans="1:25">
      <c r="A558" s="36"/>
      <c r="B558" s="15"/>
      <c r="C558" s="38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ht="15.75" customHeight="1" spans="1:25">
      <c r="A559" s="36"/>
      <c r="B559" s="15"/>
      <c r="C559" s="38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ht="15.75" customHeight="1" spans="1:25">
      <c r="A560" s="36"/>
      <c r="B560" s="15"/>
      <c r="C560" s="38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ht="15.75" customHeight="1" spans="1:25">
      <c r="A561" s="36"/>
      <c r="B561" s="15"/>
      <c r="C561" s="38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ht="15.75" customHeight="1" spans="1:25">
      <c r="A562" s="36"/>
      <c r="B562" s="15"/>
      <c r="C562" s="38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ht="15.75" customHeight="1" spans="1:25">
      <c r="A563" s="36"/>
      <c r="B563" s="15"/>
      <c r="C563" s="38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ht="15.75" customHeight="1" spans="1:25">
      <c r="A564" s="36"/>
      <c r="B564" s="15"/>
      <c r="C564" s="38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ht="15.75" customHeight="1" spans="1:25">
      <c r="A565" s="36"/>
      <c r="B565" s="15"/>
      <c r="C565" s="38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ht="15.75" customHeight="1" spans="1:25">
      <c r="A566" s="36"/>
      <c r="B566" s="15"/>
      <c r="C566" s="38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ht="15.75" customHeight="1" spans="1:25">
      <c r="A567" s="36"/>
      <c r="B567" s="15"/>
      <c r="C567" s="38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ht="15.75" customHeight="1" spans="1:25">
      <c r="A568" s="36"/>
      <c r="B568" s="15"/>
      <c r="C568" s="38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ht="15.75" customHeight="1" spans="1:25">
      <c r="A569" s="36"/>
      <c r="B569" s="15"/>
      <c r="C569" s="38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ht="15.75" customHeight="1" spans="1:25">
      <c r="A570" s="36"/>
      <c r="B570" s="15"/>
      <c r="C570" s="38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ht="15.75" customHeight="1" spans="1:25">
      <c r="A571" s="36"/>
      <c r="B571" s="15"/>
      <c r="C571" s="38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ht="15.75" customHeight="1" spans="1:25">
      <c r="A572" s="36"/>
      <c r="B572" s="15"/>
      <c r="C572" s="38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ht="15.75" customHeight="1" spans="1:25">
      <c r="A573" s="36"/>
      <c r="B573" s="15"/>
      <c r="C573" s="38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ht="15.75" customHeight="1" spans="1:25">
      <c r="A574" s="36"/>
      <c r="B574" s="15"/>
      <c r="C574" s="38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ht="15.75" customHeight="1" spans="1:25">
      <c r="A575" s="36"/>
      <c r="B575" s="15"/>
      <c r="C575" s="38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ht="15.75" customHeight="1" spans="1:25">
      <c r="A576" s="36"/>
      <c r="B576" s="15"/>
      <c r="C576" s="38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ht="15.75" customHeight="1" spans="1:25">
      <c r="A577" s="36"/>
      <c r="B577" s="15"/>
      <c r="C577" s="38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ht="15.75" customHeight="1" spans="1:25">
      <c r="A578" s="36"/>
      <c r="B578" s="15"/>
      <c r="C578" s="38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ht="15.75" customHeight="1" spans="1:25">
      <c r="A579" s="36"/>
      <c r="B579" s="15"/>
      <c r="C579" s="38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ht="15.75" customHeight="1" spans="1:25">
      <c r="A580" s="36"/>
      <c r="B580" s="15"/>
      <c r="C580" s="38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ht="15.75" customHeight="1" spans="1:25">
      <c r="A581" s="36"/>
      <c r="B581" s="15"/>
      <c r="C581" s="38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ht="15.75" customHeight="1" spans="1:25">
      <c r="A582" s="36"/>
      <c r="B582" s="15"/>
      <c r="C582" s="38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ht="15.75" customHeight="1" spans="1:25">
      <c r="A583" s="36"/>
      <c r="B583" s="15"/>
      <c r="C583" s="38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ht="15.75" customHeight="1" spans="1:25">
      <c r="A584" s="36"/>
      <c r="B584" s="15"/>
      <c r="C584" s="38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ht="15.75" customHeight="1" spans="1:25">
      <c r="A585" s="36"/>
      <c r="B585" s="15"/>
      <c r="C585" s="38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ht="15.75" customHeight="1" spans="1:25">
      <c r="A586" s="36"/>
      <c r="B586" s="15"/>
      <c r="C586" s="38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ht="15.75" customHeight="1" spans="1:25">
      <c r="A587" s="36"/>
      <c r="B587" s="15"/>
      <c r="C587" s="38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ht="15.75" customHeight="1" spans="1:25">
      <c r="A588" s="36"/>
      <c r="B588" s="15"/>
      <c r="C588" s="38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ht="15.75" customHeight="1" spans="1:25">
      <c r="A589" s="36"/>
      <c r="B589" s="15"/>
      <c r="C589" s="38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ht="15.75" customHeight="1" spans="1:25">
      <c r="A590" s="36"/>
      <c r="B590" s="15"/>
      <c r="C590" s="38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ht="15.75" customHeight="1" spans="1:25">
      <c r="A591" s="36"/>
      <c r="B591" s="15"/>
      <c r="C591" s="38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ht="15.75" customHeight="1" spans="1:25">
      <c r="A592" s="36"/>
      <c r="B592" s="15"/>
      <c r="C592" s="38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ht="15.75" customHeight="1" spans="1:25">
      <c r="A593" s="36"/>
      <c r="B593" s="15"/>
      <c r="C593" s="38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ht="15.75" customHeight="1" spans="1:25">
      <c r="A594" s="36"/>
      <c r="B594" s="15"/>
      <c r="C594" s="38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ht="15.75" customHeight="1" spans="1:25">
      <c r="A595" s="36"/>
      <c r="B595" s="15"/>
      <c r="C595" s="38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ht="15.75" customHeight="1" spans="1:25">
      <c r="A596" s="36"/>
      <c r="B596" s="15"/>
      <c r="C596" s="38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ht="15.75" customHeight="1" spans="1:25">
      <c r="A597" s="36"/>
      <c r="B597" s="15"/>
      <c r="C597" s="38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ht="15.75" customHeight="1" spans="1:25">
      <c r="A598" s="36"/>
      <c r="B598" s="15"/>
      <c r="C598" s="38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ht="15.75" customHeight="1" spans="1:25">
      <c r="A599" s="36"/>
      <c r="B599" s="15"/>
      <c r="C599" s="38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ht="15.75" customHeight="1" spans="1:25">
      <c r="A600" s="36"/>
      <c r="B600" s="15"/>
      <c r="C600" s="38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ht="15.75" customHeight="1" spans="1:25">
      <c r="A601" s="36"/>
      <c r="B601" s="15"/>
      <c r="C601" s="38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ht="15.75" customHeight="1" spans="1:25">
      <c r="A602" s="36"/>
      <c r="B602" s="15"/>
      <c r="C602" s="38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ht="15.75" customHeight="1" spans="1:25">
      <c r="A603" s="36"/>
      <c r="B603" s="15"/>
      <c r="C603" s="38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ht="15.75" customHeight="1" spans="1:25">
      <c r="A604" s="36"/>
      <c r="B604" s="15"/>
      <c r="C604" s="38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ht="15.75" customHeight="1" spans="1:25">
      <c r="A605" s="36"/>
      <c r="B605" s="15"/>
      <c r="C605" s="38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ht="15.75" customHeight="1" spans="1:25">
      <c r="A606" s="36"/>
      <c r="B606" s="15"/>
      <c r="C606" s="38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ht="15.75" customHeight="1" spans="1:25">
      <c r="A607" s="36"/>
      <c r="B607" s="15"/>
      <c r="C607" s="38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ht="15.75" customHeight="1" spans="1:25">
      <c r="A608" s="36"/>
      <c r="B608" s="15"/>
      <c r="C608" s="38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ht="15.75" customHeight="1" spans="1:25">
      <c r="A609" s="36"/>
      <c r="B609" s="15"/>
      <c r="C609" s="38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ht="15.75" customHeight="1" spans="1:25">
      <c r="A610" s="36"/>
      <c r="B610" s="15"/>
      <c r="C610" s="38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ht="15.75" customHeight="1" spans="1:25">
      <c r="A611" s="36"/>
      <c r="B611" s="15"/>
      <c r="C611" s="38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ht="15.75" customHeight="1" spans="1:25">
      <c r="A612" s="36"/>
      <c r="B612" s="15"/>
      <c r="C612" s="38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ht="15.75" customHeight="1" spans="1:25">
      <c r="A613" s="36"/>
      <c r="B613" s="15"/>
      <c r="C613" s="38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ht="15.75" customHeight="1" spans="1:25">
      <c r="A614" s="36"/>
      <c r="B614" s="15"/>
      <c r="C614" s="38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ht="15.75" customHeight="1" spans="1:25">
      <c r="A615" s="36"/>
      <c r="B615" s="15"/>
      <c r="C615" s="38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ht="15.75" customHeight="1" spans="1:25">
      <c r="A616" s="36"/>
      <c r="B616" s="15"/>
      <c r="C616" s="38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ht="15.75" customHeight="1" spans="1:25">
      <c r="A617" s="36"/>
      <c r="B617" s="15"/>
      <c r="C617" s="38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ht="15.75" customHeight="1" spans="1:25">
      <c r="A618" s="36"/>
      <c r="B618" s="15"/>
      <c r="C618" s="38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ht="15.75" customHeight="1" spans="1:25">
      <c r="A619" s="36"/>
      <c r="B619" s="15"/>
      <c r="C619" s="38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ht="15.75" customHeight="1" spans="1:25">
      <c r="A620" s="36"/>
      <c r="B620" s="15"/>
      <c r="C620" s="38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ht="15.75" customHeight="1" spans="1:25">
      <c r="A621" s="36"/>
      <c r="B621" s="15"/>
      <c r="C621" s="38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ht="15.75" customHeight="1" spans="1:25">
      <c r="A622" s="36"/>
      <c r="B622" s="15"/>
      <c r="C622" s="38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ht="15.75" customHeight="1" spans="1:25">
      <c r="A623" s="36"/>
      <c r="B623" s="15"/>
      <c r="C623" s="38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ht="15.75" customHeight="1" spans="1:25">
      <c r="A624" s="36"/>
      <c r="B624" s="15"/>
      <c r="C624" s="38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ht="15.75" customHeight="1" spans="1:25">
      <c r="A625" s="36"/>
      <c r="B625" s="15"/>
      <c r="C625" s="38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ht="15.75" customHeight="1" spans="1:25">
      <c r="A626" s="36"/>
      <c r="B626" s="15"/>
      <c r="C626" s="38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ht="15.75" customHeight="1" spans="1:25">
      <c r="A627" s="36"/>
      <c r="B627" s="15"/>
      <c r="C627" s="38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ht="15.75" customHeight="1" spans="1:25">
      <c r="A628" s="36"/>
      <c r="B628" s="15"/>
      <c r="C628" s="38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ht="15.75" customHeight="1" spans="1:25">
      <c r="A629" s="36"/>
      <c r="B629" s="15"/>
      <c r="C629" s="38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ht="15.75" customHeight="1" spans="1:25">
      <c r="A630" s="36"/>
      <c r="B630" s="15"/>
      <c r="C630" s="38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ht="15.75" customHeight="1" spans="1:25">
      <c r="A631" s="36"/>
      <c r="B631" s="15"/>
      <c r="C631" s="38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ht="15.75" customHeight="1" spans="1:25">
      <c r="A632" s="36"/>
      <c r="B632" s="15"/>
      <c r="C632" s="38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ht="15.75" customHeight="1" spans="1:25">
      <c r="A633" s="36"/>
      <c r="B633" s="15"/>
      <c r="C633" s="38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ht="15.75" customHeight="1" spans="1:25">
      <c r="A634" s="36"/>
      <c r="B634" s="15"/>
      <c r="C634" s="38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ht="15.75" customHeight="1" spans="1:25">
      <c r="A635" s="36"/>
      <c r="B635" s="15"/>
      <c r="C635" s="38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ht="15.75" customHeight="1" spans="1:25">
      <c r="A636" s="36"/>
      <c r="B636" s="15"/>
      <c r="C636" s="38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ht="15.75" customHeight="1" spans="1:25">
      <c r="A637" s="36"/>
      <c r="B637" s="15"/>
      <c r="C637" s="38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ht="15.75" customHeight="1" spans="1:25">
      <c r="A638" s="36"/>
      <c r="B638" s="15"/>
      <c r="C638" s="38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ht="15.75" customHeight="1" spans="1:25">
      <c r="A639" s="36"/>
      <c r="B639" s="15"/>
      <c r="C639" s="38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ht="15.75" customHeight="1" spans="1:25">
      <c r="A640" s="36"/>
      <c r="B640" s="15"/>
      <c r="C640" s="38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ht="15.75" customHeight="1" spans="1:25">
      <c r="A641" s="36"/>
      <c r="B641" s="15"/>
      <c r="C641" s="38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ht="15.75" customHeight="1" spans="1:25">
      <c r="A642" s="36"/>
      <c r="B642" s="15"/>
      <c r="C642" s="38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ht="15.75" customHeight="1" spans="1:25">
      <c r="A643" s="36"/>
      <c r="B643" s="15"/>
      <c r="C643" s="38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ht="15.75" customHeight="1" spans="1:25">
      <c r="A644" s="36"/>
      <c r="B644" s="15"/>
      <c r="C644" s="38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ht="15.75" customHeight="1" spans="1:25">
      <c r="A645" s="36"/>
      <c r="B645" s="15"/>
      <c r="C645" s="38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ht="15.75" customHeight="1" spans="1:25">
      <c r="A646" s="36"/>
      <c r="B646" s="15"/>
      <c r="C646" s="38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ht="15.75" customHeight="1" spans="1:25">
      <c r="A647" s="36"/>
      <c r="B647" s="15"/>
      <c r="C647" s="38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ht="15.75" customHeight="1" spans="1:25">
      <c r="A648" s="36"/>
      <c r="B648" s="15"/>
      <c r="C648" s="38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ht="15.75" customHeight="1" spans="1:25">
      <c r="A649" s="36"/>
      <c r="B649" s="15"/>
      <c r="C649" s="38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ht="15.75" customHeight="1" spans="1:25">
      <c r="A650" s="36"/>
      <c r="B650" s="15"/>
      <c r="C650" s="38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ht="15.75" customHeight="1" spans="1:25">
      <c r="A651" s="36"/>
      <c r="B651" s="15"/>
      <c r="C651" s="38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ht="15.75" customHeight="1" spans="1:25">
      <c r="A652" s="36"/>
      <c r="B652" s="15"/>
      <c r="C652" s="38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ht="15.75" customHeight="1" spans="1:25">
      <c r="A653" s="36"/>
      <c r="B653" s="15"/>
      <c r="C653" s="38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ht="15.75" customHeight="1" spans="1:25">
      <c r="A654" s="36"/>
      <c r="B654" s="15"/>
      <c r="C654" s="38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ht="15.75" customHeight="1" spans="1:25">
      <c r="A655" s="36"/>
      <c r="B655" s="15"/>
      <c r="C655" s="38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ht="15.75" customHeight="1" spans="1:25">
      <c r="A656" s="36"/>
      <c r="B656" s="15"/>
      <c r="C656" s="38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ht="15.75" customHeight="1" spans="1:25">
      <c r="A657" s="36"/>
      <c r="B657" s="15"/>
      <c r="C657" s="38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ht="15.75" customHeight="1" spans="1:25">
      <c r="A658" s="36"/>
      <c r="B658" s="15"/>
      <c r="C658" s="38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ht="15.75" customHeight="1" spans="1:25">
      <c r="A659" s="36"/>
      <c r="B659" s="15"/>
      <c r="C659" s="38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ht="15.75" customHeight="1" spans="1:25">
      <c r="A660" s="36"/>
      <c r="B660" s="15"/>
      <c r="C660" s="38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ht="15.75" customHeight="1" spans="1:25">
      <c r="A661" s="36"/>
      <c r="B661" s="15"/>
      <c r="C661" s="38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ht="15.75" customHeight="1" spans="1:25">
      <c r="A662" s="36"/>
      <c r="B662" s="15"/>
      <c r="C662" s="38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ht="15.75" customHeight="1" spans="1:25">
      <c r="A663" s="36"/>
      <c r="B663" s="15"/>
      <c r="C663" s="38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ht="15.75" customHeight="1" spans="1:25">
      <c r="A664" s="36"/>
      <c r="B664" s="15"/>
      <c r="C664" s="38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ht="15.75" customHeight="1" spans="1:25">
      <c r="A665" s="36"/>
      <c r="B665" s="15"/>
      <c r="C665" s="38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ht="15.75" customHeight="1" spans="1:25">
      <c r="A666" s="36"/>
      <c r="B666" s="15"/>
      <c r="C666" s="38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ht="15.75" customHeight="1" spans="1:25">
      <c r="A667" s="36"/>
      <c r="B667" s="15"/>
      <c r="C667" s="38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ht="15.75" customHeight="1" spans="1:25">
      <c r="A668" s="36"/>
      <c r="B668" s="15"/>
      <c r="C668" s="38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ht="15.75" customHeight="1" spans="1:25">
      <c r="A669" s="36"/>
      <c r="B669" s="15"/>
      <c r="C669" s="38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ht="15.75" customHeight="1" spans="1:25">
      <c r="A670" s="36"/>
      <c r="B670" s="15"/>
      <c r="C670" s="38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ht="15.75" customHeight="1" spans="1:25">
      <c r="A671" s="36"/>
      <c r="B671" s="15"/>
      <c r="C671" s="38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ht="15.75" customHeight="1" spans="1:25">
      <c r="A672" s="36"/>
      <c r="B672" s="15"/>
      <c r="C672" s="38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ht="15.75" customHeight="1" spans="1:25">
      <c r="A673" s="36"/>
      <c r="B673" s="15"/>
      <c r="C673" s="38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ht="15.75" customHeight="1" spans="1:25">
      <c r="A674" s="36"/>
      <c r="B674" s="15"/>
      <c r="C674" s="38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ht="15.75" customHeight="1" spans="1:25">
      <c r="A675" s="36"/>
      <c r="B675" s="15"/>
      <c r="C675" s="38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ht="15.75" customHeight="1" spans="1:25">
      <c r="A676" s="36"/>
      <c r="B676" s="15"/>
      <c r="C676" s="38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ht="15.75" customHeight="1" spans="1:25">
      <c r="A677" s="36"/>
      <c r="B677" s="15"/>
      <c r="C677" s="38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ht="15.75" customHeight="1" spans="1:25">
      <c r="A678" s="36"/>
      <c r="B678" s="15"/>
      <c r="C678" s="38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ht="15.75" customHeight="1" spans="1:25">
      <c r="A679" s="36"/>
      <c r="B679" s="15"/>
      <c r="C679" s="38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ht="15.75" customHeight="1" spans="1:25">
      <c r="A680" s="36"/>
      <c r="B680" s="15"/>
      <c r="C680" s="38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ht="15.75" customHeight="1" spans="1:25">
      <c r="A681" s="36"/>
      <c r="B681" s="15"/>
      <c r="C681" s="38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ht="15.75" customHeight="1" spans="1:25">
      <c r="A682" s="36"/>
      <c r="B682" s="15"/>
      <c r="C682" s="38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ht="15.75" customHeight="1" spans="1:25">
      <c r="A683" s="36"/>
      <c r="B683" s="15"/>
      <c r="C683" s="38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ht="15.75" customHeight="1" spans="1:25">
      <c r="A684" s="36"/>
      <c r="B684" s="15"/>
      <c r="C684" s="38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ht="15.75" customHeight="1" spans="1:25">
      <c r="A685" s="36"/>
      <c r="B685" s="15"/>
      <c r="C685" s="38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ht="15.75" customHeight="1" spans="1:25">
      <c r="A686" s="36"/>
      <c r="B686" s="15"/>
      <c r="C686" s="38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ht="15.75" customHeight="1" spans="1:25">
      <c r="A687" s="36"/>
      <c r="B687" s="15"/>
      <c r="C687" s="38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ht="15.75" customHeight="1" spans="1:25">
      <c r="A688" s="36"/>
      <c r="B688" s="15"/>
      <c r="C688" s="38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ht="15.75" customHeight="1" spans="1:25">
      <c r="A689" s="36"/>
      <c r="B689" s="15"/>
      <c r="C689" s="38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ht="15.75" customHeight="1" spans="1:25">
      <c r="A690" s="36"/>
      <c r="B690" s="15"/>
      <c r="C690" s="38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ht="15.75" customHeight="1" spans="1:25">
      <c r="A691" s="36"/>
      <c r="B691" s="15"/>
      <c r="C691" s="38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ht="15.75" customHeight="1" spans="1:25">
      <c r="A692" s="36"/>
      <c r="B692" s="15"/>
      <c r="C692" s="38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ht="15.75" customHeight="1" spans="1:25">
      <c r="A693" s="36"/>
      <c r="B693" s="15"/>
      <c r="C693" s="38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ht="15.75" customHeight="1" spans="1:25">
      <c r="A694" s="36"/>
      <c r="B694" s="15"/>
      <c r="C694" s="38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ht="15.75" customHeight="1" spans="1:25">
      <c r="A695" s="36"/>
      <c r="B695" s="15"/>
      <c r="C695" s="38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ht="15.75" customHeight="1" spans="1:25">
      <c r="A696" s="36"/>
      <c r="B696" s="15"/>
      <c r="C696" s="38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ht="15.75" customHeight="1" spans="1:25">
      <c r="A697" s="36"/>
      <c r="B697" s="15"/>
      <c r="C697" s="38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ht="15.75" customHeight="1" spans="1:25">
      <c r="A698" s="36"/>
      <c r="B698" s="15"/>
      <c r="C698" s="38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ht="15.75" customHeight="1" spans="1:25">
      <c r="A699" s="36"/>
      <c r="B699" s="15"/>
      <c r="C699" s="38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ht="15.75" customHeight="1" spans="1:25">
      <c r="A700" s="36"/>
      <c r="B700" s="15"/>
      <c r="C700" s="38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ht="15.75" customHeight="1" spans="1:25">
      <c r="A701" s="36"/>
      <c r="B701" s="15"/>
      <c r="C701" s="38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ht="15.75" customHeight="1" spans="1:25">
      <c r="A702" s="36"/>
      <c r="B702" s="15"/>
      <c r="C702" s="38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ht="15.75" customHeight="1" spans="1:25">
      <c r="A703" s="36"/>
      <c r="B703" s="15"/>
      <c r="C703" s="38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ht="15.75" customHeight="1" spans="1:25">
      <c r="A704" s="36"/>
      <c r="B704" s="15"/>
      <c r="C704" s="38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ht="15.75" customHeight="1" spans="1:25">
      <c r="A705" s="36"/>
      <c r="B705" s="15"/>
      <c r="C705" s="38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ht="15.75" customHeight="1" spans="1:25">
      <c r="A706" s="36"/>
      <c r="B706" s="15"/>
      <c r="C706" s="38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ht="15.75" customHeight="1" spans="1:25">
      <c r="A707" s="36"/>
      <c r="B707" s="15"/>
      <c r="C707" s="38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ht="15.75" customHeight="1" spans="1:25">
      <c r="A708" s="36"/>
      <c r="B708" s="15"/>
      <c r="C708" s="38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ht="15.75" customHeight="1" spans="1:25">
      <c r="A709" s="36"/>
      <c r="B709" s="15"/>
      <c r="C709" s="38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ht="15.75" customHeight="1" spans="1:25">
      <c r="A710" s="36"/>
      <c r="B710" s="15"/>
      <c r="C710" s="38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ht="15.75" customHeight="1" spans="1:25">
      <c r="A711" s="36"/>
      <c r="B711" s="15"/>
      <c r="C711" s="38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ht="15.75" customHeight="1" spans="1:25">
      <c r="A712" s="36"/>
      <c r="B712" s="15"/>
      <c r="C712" s="38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ht="15.75" customHeight="1" spans="1:25">
      <c r="A713" s="36"/>
      <c r="B713" s="15"/>
      <c r="C713" s="38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ht="15.75" customHeight="1" spans="1:25">
      <c r="A714" s="36"/>
      <c r="B714" s="15"/>
      <c r="C714" s="38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ht="15.75" customHeight="1" spans="1:25">
      <c r="A715" s="36"/>
      <c r="B715" s="15"/>
      <c r="C715" s="38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ht="15.75" customHeight="1" spans="1:25">
      <c r="A716" s="36"/>
      <c r="B716" s="15"/>
      <c r="C716" s="38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ht="15.75" customHeight="1" spans="1:25">
      <c r="A717" s="36"/>
      <c r="B717" s="15"/>
      <c r="C717" s="38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ht="15.75" customHeight="1" spans="1:25">
      <c r="A718" s="36"/>
      <c r="B718" s="15"/>
      <c r="C718" s="38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ht="15.75" customHeight="1" spans="1:25">
      <c r="A719" s="36"/>
      <c r="B719" s="15"/>
      <c r="C719" s="38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ht="15.75" customHeight="1" spans="1:25">
      <c r="A720" s="36"/>
      <c r="B720" s="15"/>
      <c r="C720" s="38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ht="15.75" customHeight="1" spans="1:25">
      <c r="A721" s="36"/>
      <c r="B721" s="15"/>
      <c r="C721" s="38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ht="15.75" customHeight="1" spans="1:25">
      <c r="A722" s="36"/>
      <c r="B722" s="15"/>
      <c r="C722" s="38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ht="15.75" customHeight="1" spans="1:25">
      <c r="A723" s="36"/>
      <c r="B723" s="15"/>
      <c r="C723" s="38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ht="15.75" customHeight="1" spans="1:25">
      <c r="A724" s="36"/>
      <c r="B724" s="15"/>
      <c r="C724" s="38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ht="15.75" customHeight="1" spans="1:25">
      <c r="A725" s="36"/>
      <c r="B725" s="15"/>
      <c r="C725" s="38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ht="15.75" customHeight="1" spans="1:25">
      <c r="A726" s="36"/>
      <c r="B726" s="15"/>
      <c r="C726" s="38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ht="15.75" customHeight="1" spans="1:25">
      <c r="A727" s="36"/>
      <c r="B727" s="15"/>
      <c r="C727" s="38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ht="15.75" customHeight="1" spans="1:25">
      <c r="A728" s="36"/>
      <c r="B728" s="15"/>
      <c r="C728" s="38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ht="15.75" customHeight="1" spans="1:25">
      <c r="A729" s="36"/>
      <c r="B729" s="15"/>
      <c r="C729" s="38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ht="15.75" customHeight="1" spans="1:25">
      <c r="A730" s="36"/>
      <c r="B730" s="15"/>
      <c r="C730" s="38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ht="15.75" customHeight="1" spans="1:25">
      <c r="A731" s="36"/>
      <c r="B731" s="15"/>
      <c r="C731" s="38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ht="15.75" customHeight="1" spans="1:25">
      <c r="A732" s="36"/>
      <c r="B732" s="15"/>
      <c r="C732" s="38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ht="15.75" customHeight="1" spans="1:25">
      <c r="A733" s="36"/>
      <c r="B733" s="15"/>
      <c r="C733" s="38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ht="15.75" customHeight="1" spans="1:25">
      <c r="A734" s="36"/>
      <c r="B734" s="15"/>
      <c r="C734" s="38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ht="15.75" customHeight="1" spans="1:25">
      <c r="A735" s="36"/>
      <c r="B735" s="15"/>
      <c r="C735" s="38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ht="15.75" customHeight="1" spans="1:25">
      <c r="A736" s="36"/>
      <c r="B736" s="15"/>
      <c r="C736" s="38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ht="15.75" customHeight="1" spans="1:25">
      <c r="A737" s="36"/>
      <c r="B737" s="15"/>
      <c r="C737" s="38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ht="15.75" customHeight="1" spans="1:25">
      <c r="A738" s="36"/>
      <c r="B738" s="15"/>
      <c r="C738" s="38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ht="15.75" customHeight="1" spans="1:25">
      <c r="A739" s="36"/>
      <c r="B739" s="15"/>
      <c r="C739" s="38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ht="15.75" customHeight="1" spans="1:25">
      <c r="A740" s="36"/>
      <c r="B740" s="15"/>
      <c r="C740" s="38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ht="15.75" customHeight="1" spans="1:25">
      <c r="A741" s="36"/>
      <c r="B741" s="15"/>
      <c r="C741" s="38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ht="15.75" customHeight="1" spans="1:25">
      <c r="A742" s="36"/>
      <c r="B742" s="15"/>
      <c r="C742" s="38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ht="15.75" customHeight="1" spans="1:25">
      <c r="A743" s="36"/>
      <c r="B743" s="15"/>
      <c r="C743" s="38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ht="15.75" customHeight="1" spans="1:25">
      <c r="A744" s="36"/>
      <c r="B744" s="15"/>
      <c r="C744" s="38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ht="15.75" customHeight="1" spans="1:25">
      <c r="A745" s="36"/>
      <c r="B745" s="15"/>
      <c r="C745" s="38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ht="15.75" customHeight="1" spans="1:25">
      <c r="A746" s="36"/>
      <c r="B746" s="15"/>
      <c r="C746" s="38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ht="15.75" customHeight="1" spans="1:25">
      <c r="A747" s="36"/>
      <c r="B747" s="15"/>
      <c r="C747" s="38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ht="15.75" customHeight="1" spans="1:25">
      <c r="A748" s="36"/>
      <c r="B748" s="15"/>
      <c r="C748" s="38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ht="15.75" customHeight="1" spans="1:25">
      <c r="A749" s="36"/>
      <c r="B749" s="15"/>
      <c r="C749" s="38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ht="15.75" customHeight="1" spans="1:25">
      <c r="A750" s="36"/>
      <c r="B750" s="15"/>
      <c r="C750" s="38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ht="15.75" customHeight="1" spans="1:25">
      <c r="A751" s="36"/>
      <c r="B751" s="15"/>
      <c r="C751" s="38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ht="15.75" customHeight="1" spans="1:25">
      <c r="A752" s="36"/>
      <c r="B752" s="15"/>
      <c r="C752" s="38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ht="15.75" customHeight="1" spans="1:25">
      <c r="A753" s="36"/>
      <c r="B753" s="15"/>
      <c r="C753" s="38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ht="15.75" customHeight="1" spans="1:25">
      <c r="A754" s="36"/>
      <c r="B754" s="15"/>
      <c r="C754" s="38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ht="15.75" customHeight="1" spans="1:25">
      <c r="A755" s="36"/>
      <c r="B755" s="15"/>
      <c r="C755" s="38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ht="15.75" customHeight="1" spans="1:25">
      <c r="A756" s="36"/>
      <c r="B756" s="15"/>
      <c r="C756" s="38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ht="15.75" customHeight="1" spans="1:25">
      <c r="A757" s="36"/>
      <c r="B757" s="15"/>
      <c r="C757" s="38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ht="15.75" customHeight="1" spans="1:25">
      <c r="A758" s="36"/>
      <c r="B758" s="15"/>
      <c r="C758" s="38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ht="15.75" customHeight="1" spans="1:25">
      <c r="A759" s="36"/>
      <c r="B759" s="15"/>
      <c r="C759" s="38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ht="15.75" customHeight="1" spans="1:25">
      <c r="A760" s="36"/>
      <c r="B760" s="15"/>
      <c r="C760" s="38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ht="15.75" customHeight="1" spans="1:25">
      <c r="A761" s="36"/>
      <c r="B761" s="15"/>
      <c r="C761" s="38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ht="15.75" customHeight="1" spans="1:25">
      <c r="A762" s="36"/>
      <c r="B762" s="15"/>
      <c r="C762" s="38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ht="15.75" customHeight="1" spans="1:25">
      <c r="A763" s="36"/>
      <c r="B763" s="15"/>
      <c r="C763" s="38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ht="15.75" customHeight="1" spans="1:25">
      <c r="A764" s="36"/>
      <c r="B764" s="15"/>
      <c r="C764" s="38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ht="15.75" customHeight="1" spans="1:25">
      <c r="A765" s="36"/>
      <c r="B765" s="15"/>
      <c r="C765" s="38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ht="15.75" customHeight="1" spans="1:25">
      <c r="A766" s="36"/>
      <c r="B766" s="15"/>
      <c r="C766" s="38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ht="15.75" customHeight="1" spans="1:25">
      <c r="A767" s="36"/>
      <c r="B767" s="15"/>
      <c r="C767" s="38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ht="15.75" customHeight="1" spans="1:25">
      <c r="A768" s="36"/>
      <c r="B768" s="15"/>
      <c r="C768" s="38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ht="15.75" customHeight="1" spans="1:25">
      <c r="A769" s="36"/>
      <c r="B769" s="15"/>
      <c r="C769" s="38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ht="15.75" customHeight="1" spans="1:25">
      <c r="A770" s="36"/>
      <c r="B770" s="15"/>
      <c r="C770" s="38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ht="15.75" customHeight="1" spans="1:25">
      <c r="A771" s="36"/>
      <c r="B771" s="15"/>
      <c r="C771" s="38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ht="15.75" customHeight="1" spans="1:25">
      <c r="A772" s="36"/>
      <c r="B772" s="15"/>
      <c r="C772" s="38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ht="15.75" customHeight="1" spans="1:25">
      <c r="A773" s="36"/>
      <c r="B773" s="15"/>
      <c r="C773" s="38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ht="15.75" customHeight="1" spans="1:25">
      <c r="A774" s="36"/>
      <c r="B774" s="15"/>
      <c r="C774" s="38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ht="15.75" customHeight="1" spans="1:25">
      <c r="A775" s="36"/>
      <c r="B775" s="15"/>
      <c r="C775" s="38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ht="15.75" customHeight="1" spans="1:25">
      <c r="A776" s="36"/>
      <c r="B776" s="15"/>
      <c r="C776" s="38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ht="15.75" customHeight="1" spans="1:25">
      <c r="A777" s="36"/>
      <c r="B777" s="15"/>
      <c r="C777" s="38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ht="15.75" customHeight="1" spans="1:25">
      <c r="A778" s="36"/>
      <c r="B778" s="15"/>
      <c r="C778" s="38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ht="15.75" customHeight="1" spans="1:25">
      <c r="A779" s="36"/>
      <c r="B779" s="15"/>
      <c r="C779" s="38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ht="15.75" customHeight="1" spans="1:25">
      <c r="A780" s="36"/>
      <c r="B780" s="15"/>
      <c r="C780" s="38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ht="15.75" customHeight="1" spans="1:25">
      <c r="A781" s="36"/>
      <c r="B781" s="15"/>
      <c r="C781" s="38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ht="15.75" customHeight="1" spans="1:25">
      <c r="A782" s="36"/>
      <c r="B782" s="15"/>
      <c r="C782" s="38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ht="15.75" customHeight="1" spans="1:25">
      <c r="A783" s="36"/>
      <c r="B783" s="15"/>
      <c r="C783" s="38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ht="15.75" customHeight="1" spans="1:25">
      <c r="A784" s="36"/>
      <c r="B784" s="15"/>
      <c r="C784" s="38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ht="15.75" customHeight="1" spans="1:25">
      <c r="A785" s="36"/>
      <c r="B785" s="15"/>
      <c r="C785" s="38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ht="15.75" customHeight="1" spans="1:25">
      <c r="A786" s="36"/>
      <c r="B786" s="15"/>
      <c r="C786" s="38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ht="15.75" customHeight="1" spans="1:25">
      <c r="A787" s="36"/>
      <c r="B787" s="15"/>
      <c r="C787" s="38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ht="15.75" customHeight="1" spans="1:25">
      <c r="A788" s="36"/>
      <c r="B788" s="15"/>
      <c r="C788" s="38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ht="15.75" customHeight="1" spans="1:25">
      <c r="A789" s="36"/>
      <c r="B789" s="15"/>
      <c r="C789" s="38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ht="15.75" customHeight="1" spans="1:25">
      <c r="A790" s="36"/>
      <c r="B790" s="15"/>
      <c r="C790" s="38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ht="15.75" customHeight="1" spans="1:25">
      <c r="A791" s="36"/>
      <c r="B791" s="15"/>
      <c r="C791" s="38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ht="15.75" customHeight="1" spans="1:25">
      <c r="A792" s="36"/>
      <c r="B792" s="15"/>
      <c r="C792" s="38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ht="15.75" customHeight="1" spans="1:25">
      <c r="A793" s="36"/>
      <c r="B793" s="15"/>
      <c r="C793" s="38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ht="15.75" customHeight="1" spans="1:25">
      <c r="A794" s="36"/>
      <c r="B794" s="15"/>
      <c r="C794" s="38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ht="15.75" customHeight="1" spans="1:25">
      <c r="A795" s="36"/>
      <c r="B795" s="15"/>
      <c r="C795" s="38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ht="15.75" customHeight="1" spans="1:25">
      <c r="A796" s="36"/>
      <c r="B796" s="15"/>
      <c r="C796" s="38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ht="15.75" customHeight="1" spans="1:25">
      <c r="A797" s="36"/>
      <c r="B797" s="15"/>
      <c r="C797" s="38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ht="15.75" customHeight="1" spans="1:25">
      <c r="A798" s="36"/>
      <c r="B798" s="15"/>
      <c r="C798" s="38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ht="15.75" customHeight="1" spans="1:25">
      <c r="A799" s="36"/>
      <c r="B799" s="15"/>
      <c r="C799" s="38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ht="15.75" customHeight="1" spans="1:25">
      <c r="A800" s="36"/>
      <c r="B800" s="15"/>
      <c r="C800" s="38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ht="15.75" customHeight="1" spans="1:25">
      <c r="A801" s="36"/>
      <c r="B801" s="15"/>
      <c r="C801" s="38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ht="15.75" customHeight="1" spans="1:25">
      <c r="A802" s="36"/>
      <c r="B802" s="15"/>
      <c r="C802" s="38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ht="15.75" customHeight="1" spans="1:25">
      <c r="A803" s="36"/>
      <c r="B803" s="15"/>
      <c r="C803" s="38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ht="15.75" customHeight="1" spans="1:25">
      <c r="A804" s="36"/>
      <c r="B804" s="15"/>
      <c r="C804" s="38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ht="15.75" customHeight="1" spans="1:25">
      <c r="A805" s="36"/>
      <c r="B805" s="15"/>
      <c r="C805" s="38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ht="15.75" customHeight="1" spans="1:25">
      <c r="A806" s="36"/>
      <c r="B806" s="15"/>
      <c r="C806" s="38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ht="15.75" customHeight="1" spans="1:25">
      <c r="A807" s="36"/>
      <c r="B807" s="15"/>
      <c r="C807" s="38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ht="15.75" customHeight="1" spans="1:25">
      <c r="A808" s="36"/>
      <c r="B808" s="15"/>
      <c r="C808" s="38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ht="15.75" customHeight="1" spans="1:25">
      <c r="A809" s="36"/>
      <c r="B809" s="15"/>
      <c r="C809" s="38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ht="15.75" customHeight="1" spans="1:25">
      <c r="A810" s="36"/>
      <c r="B810" s="15"/>
      <c r="C810" s="38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ht="15.75" customHeight="1" spans="1:25">
      <c r="A811" s="36"/>
      <c r="B811" s="15"/>
      <c r="C811" s="38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ht="15.75" customHeight="1" spans="1:25">
      <c r="A812" s="36"/>
      <c r="B812" s="15"/>
      <c r="C812" s="38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ht="15.75" customHeight="1" spans="1:25">
      <c r="A813" s="36"/>
      <c r="B813" s="15"/>
      <c r="C813" s="38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ht="15.75" customHeight="1" spans="1:25">
      <c r="A814" s="36"/>
      <c r="B814" s="15"/>
      <c r="C814" s="38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ht="15.75" customHeight="1" spans="1:25">
      <c r="A815" s="36"/>
      <c r="B815" s="15"/>
      <c r="C815" s="38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ht="15.75" customHeight="1" spans="1:25">
      <c r="A816" s="36"/>
      <c r="B816" s="15"/>
      <c r="C816" s="38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ht="15.75" customHeight="1" spans="1:25">
      <c r="A817" s="36"/>
      <c r="B817" s="15"/>
      <c r="C817" s="38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ht="15.75" customHeight="1" spans="1:25">
      <c r="A818" s="36"/>
      <c r="B818" s="15"/>
      <c r="C818" s="38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ht="15.75" customHeight="1" spans="1:25">
      <c r="A819" s="36"/>
      <c r="B819" s="15"/>
      <c r="C819" s="38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ht="15.75" customHeight="1" spans="1:25">
      <c r="A820" s="36"/>
      <c r="B820" s="15"/>
      <c r="C820" s="38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ht="15.75" customHeight="1" spans="1:25">
      <c r="A821" s="36"/>
      <c r="B821" s="15"/>
      <c r="C821" s="38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ht="15.75" customHeight="1" spans="1:25">
      <c r="A822" s="36"/>
      <c r="B822" s="15"/>
      <c r="C822" s="38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ht="15.75" customHeight="1" spans="1:25">
      <c r="A823" s="36"/>
      <c r="B823" s="15"/>
      <c r="C823" s="38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ht="15.75" customHeight="1" spans="1:25">
      <c r="A824" s="36"/>
      <c r="B824" s="15"/>
      <c r="C824" s="38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ht="15.75" customHeight="1" spans="1:25">
      <c r="A825" s="36"/>
      <c r="B825" s="15"/>
      <c r="C825" s="38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ht="15.75" customHeight="1" spans="1:25">
      <c r="A826" s="36"/>
      <c r="B826" s="15"/>
      <c r="C826" s="38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ht="15.75" customHeight="1" spans="1:25">
      <c r="A827" s="36"/>
      <c r="B827" s="15"/>
      <c r="C827" s="38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ht="15.75" customHeight="1" spans="1:25">
      <c r="A828" s="36"/>
      <c r="B828" s="15"/>
      <c r="C828" s="38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ht="15.75" customHeight="1" spans="1:25">
      <c r="A829" s="36"/>
      <c r="B829" s="15"/>
      <c r="C829" s="38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ht="15.75" customHeight="1" spans="1:25">
      <c r="A830" s="36"/>
      <c r="B830" s="15"/>
      <c r="C830" s="38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ht="15.75" customHeight="1" spans="1:25">
      <c r="A831" s="36"/>
      <c r="B831" s="15"/>
      <c r="C831" s="38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ht="15.75" customHeight="1" spans="1:25">
      <c r="A832" s="36"/>
      <c r="B832" s="15"/>
      <c r="C832" s="38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ht="15.75" customHeight="1" spans="1:25">
      <c r="A833" s="36"/>
      <c r="B833" s="15"/>
      <c r="C833" s="38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ht="15.75" customHeight="1" spans="1:25">
      <c r="A834" s="36"/>
      <c r="B834" s="15"/>
      <c r="C834" s="38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ht="15.75" customHeight="1" spans="1:25">
      <c r="A835" s="36"/>
      <c r="B835" s="15"/>
      <c r="C835" s="38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ht="15.75" customHeight="1" spans="1:25">
      <c r="A836" s="36"/>
      <c r="B836" s="15"/>
      <c r="C836" s="38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ht="15.75" customHeight="1" spans="1:25">
      <c r="A837" s="36"/>
      <c r="B837" s="15"/>
      <c r="C837" s="38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ht="15.75" customHeight="1" spans="1:25">
      <c r="A838" s="36"/>
      <c r="B838" s="15"/>
      <c r="C838" s="38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ht="15.75" customHeight="1" spans="1:25">
      <c r="A839" s="36"/>
      <c r="B839" s="15"/>
      <c r="C839" s="38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ht="15.75" customHeight="1" spans="1:25">
      <c r="A840" s="36"/>
      <c r="B840" s="15"/>
      <c r="C840" s="38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ht="15.75" customHeight="1" spans="1:25">
      <c r="A841" s="36"/>
      <c r="B841" s="15"/>
      <c r="C841" s="38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ht="15.75" customHeight="1" spans="1:25">
      <c r="A842" s="36"/>
      <c r="B842" s="15"/>
      <c r="C842" s="38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ht="15.75" customHeight="1" spans="1:25">
      <c r="A843" s="36"/>
      <c r="B843" s="15"/>
      <c r="C843" s="38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ht="15.75" customHeight="1" spans="1:25">
      <c r="A844" s="36"/>
      <c r="B844" s="15"/>
      <c r="C844" s="38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ht="15.75" customHeight="1" spans="1:25">
      <c r="A845" s="36"/>
      <c r="B845" s="15"/>
      <c r="C845" s="38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ht="15.75" customHeight="1" spans="1:25">
      <c r="A846" s="36"/>
      <c r="B846" s="15"/>
      <c r="C846" s="38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ht="15.75" customHeight="1" spans="1:25">
      <c r="A847" s="36"/>
      <c r="B847" s="15"/>
      <c r="C847" s="38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ht="15.75" customHeight="1" spans="1:25">
      <c r="A848" s="36"/>
      <c r="B848" s="15"/>
      <c r="C848" s="38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ht="15.75" customHeight="1" spans="1:25">
      <c r="A849" s="36"/>
      <c r="B849" s="15"/>
      <c r="C849" s="38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ht="15.75" customHeight="1" spans="1:25">
      <c r="A850" s="36"/>
      <c r="B850" s="15"/>
      <c r="C850" s="38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ht="15.75" customHeight="1" spans="1:25">
      <c r="A851" s="36"/>
      <c r="B851" s="15"/>
      <c r="C851" s="38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ht="15.75" customHeight="1" spans="1:25">
      <c r="A852" s="36"/>
      <c r="B852" s="15"/>
      <c r="C852" s="38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ht="15.75" customHeight="1" spans="1:25">
      <c r="A853" s="36"/>
      <c r="B853" s="15"/>
      <c r="C853" s="38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ht="15.75" customHeight="1" spans="1:25">
      <c r="A854" s="36"/>
      <c r="B854" s="15"/>
      <c r="C854" s="38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ht="15.75" customHeight="1" spans="1:25">
      <c r="A855" s="36"/>
      <c r="B855" s="15"/>
      <c r="C855" s="38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ht="15.75" customHeight="1" spans="1:25">
      <c r="A856" s="36"/>
      <c r="B856" s="15"/>
      <c r="C856" s="38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ht="15.75" customHeight="1" spans="1:25">
      <c r="A857" s="36"/>
      <c r="B857" s="15"/>
      <c r="C857" s="38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ht="15.75" customHeight="1" spans="1:25">
      <c r="A858" s="36"/>
      <c r="B858" s="15"/>
      <c r="C858" s="38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ht="15.75" customHeight="1" spans="1:25">
      <c r="A859" s="36"/>
      <c r="B859" s="15"/>
      <c r="C859" s="38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ht="15.75" customHeight="1" spans="1:25">
      <c r="A860" s="36"/>
      <c r="B860" s="15"/>
      <c r="C860" s="38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ht="15.75" customHeight="1" spans="1:25">
      <c r="A861" s="36"/>
      <c r="B861" s="15"/>
      <c r="C861" s="38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ht="15.75" customHeight="1" spans="1:25">
      <c r="A862" s="36"/>
      <c r="B862" s="15"/>
      <c r="C862" s="38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ht="15.75" customHeight="1" spans="1:25">
      <c r="A863" s="36"/>
      <c r="B863" s="15"/>
      <c r="C863" s="38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ht="15.75" customHeight="1" spans="1:25">
      <c r="A864" s="36"/>
      <c r="B864" s="15"/>
      <c r="C864" s="38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ht="15.75" customHeight="1" spans="1:25">
      <c r="A865" s="36"/>
      <c r="B865" s="15"/>
      <c r="C865" s="38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ht="15.75" customHeight="1" spans="1:25">
      <c r="A866" s="36"/>
      <c r="B866" s="15"/>
      <c r="C866" s="38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ht="15.75" customHeight="1" spans="1:25">
      <c r="A867" s="36"/>
      <c r="B867" s="15"/>
      <c r="C867" s="38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ht="15.75" customHeight="1" spans="1:25">
      <c r="A868" s="36"/>
      <c r="B868" s="15"/>
      <c r="C868" s="38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ht="15.75" customHeight="1" spans="1:25">
      <c r="A869" s="36"/>
      <c r="B869" s="15"/>
      <c r="C869" s="38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ht="15.75" customHeight="1" spans="1:25">
      <c r="A870" s="36"/>
      <c r="B870" s="15"/>
      <c r="C870" s="38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ht="15.75" customHeight="1" spans="1:25">
      <c r="A871" s="36"/>
      <c r="B871" s="15"/>
      <c r="C871" s="38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ht="15.75" customHeight="1" spans="1:25">
      <c r="A872" s="36"/>
      <c r="B872" s="15"/>
      <c r="C872" s="38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ht="15.75" customHeight="1" spans="1:25">
      <c r="A873" s="36"/>
      <c r="B873" s="15"/>
      <c r="C873" s="38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ht="15.75" customHeight="1" spans="1:25">
      <c r="A874" s="36"/>
      <c r="B874" s="15"/>
      <c r="C874" s="38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ht="15.75" customHeight="1" spans="1:25">
      <c r="A875" s="36"/>
      <c r="B875" s="15"/>
      <c r="C875" s="38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ht="15.75" customHeight="1" spans="1:25">
      <c r="A876" s="36"/>
      <c r="B876" s="15"/>
      <c r="C876" s="38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ht="15.75" customHeight="1" spans="1:25">
      <c r="A877" s="36"/>
      <c r="B877" s="15"/>
      <c r="C877" s="38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ht="15.75" customHeight="1" spans="1:25">
      <c r="A878" s="36"/>
      <c r="B878" s="15"/>
      <c r="C878" s="38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ht="15.75" customHeight="1" spans="1:25">
      <c r="A879" s="36"/>
      <c r="B879" s="15"/>
      <c r="C879" s="38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ht="15.75" customHeight="1" spans="1:25">
      <c r="A880" s="36"/>
      <c r="B880" s="15"/>
      <c r="C880" s="38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ht="15.75" customHeight="1" spans="1:25">
      <c r="A881" s="36"/>
      <c r="B881" s="15"/>
      <c r="C881" s="38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ht="15.75" customHeight="1" spans="1:25">
      <c r="A882" s="36"/>
      <c r="B882" s="15"/>
      <c r="C882" s="38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ht="15.75" customHeight="1" spans="1:25">
      <c r="A883" s="36"/>
      <c r="B883" s="15"/>
      <c r="C883" s="38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ht="15.75" customHeight="1" spans="1:25">
      <c r="A884" s="36"/>
      <c r="B884" s="15"/>
      <c r="C884" s="38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ht="15.75" customHeight="1" spans="1:25">
      <c r="A885" s="36"/>
      <c r="B885" s="15"/>
      <c r="C885" s="38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ht="15.75" customHeight="1" spans="1:25">
      <c r="A886" s="36"/>
      <c r="B886" s="15"/>
      <c r="C886" s="38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ht="15.75" customHeight="1" spans="1:25">
      <c r="A887" s="36"/>
      <c r="B887" s="15"/>
      <c r="C887" s="38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ht="15.75" customHeight="1" spans="1:25">
      <c r="A888" s="36"/>
      <c r="B888" s="15"/>
      <c r="C888" s="38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ht="15.75" customHeight="1" spans="1:25">
      <c r="A889" s="36"/>
      <c r="B889" s="15"/>
      <c r="C889" s="38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ht="15.75" customHeight="1" spans="1:25">
      <c r="A890" s="36"/>
      <c r="B890" s="15"/>
      <c r="C890" s="38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ht="15.75" customHeight="1" spans="1:25">
      <c r="A891" s="36"/>
      <c r="B891" s="15"/>
      <c r="C891" s="38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ht="15.75" customHeight="1" spans="1:25">
      <c r="A892" s="36"/>
      <c r="B892" s="15"/>
      <c r="C892" s="38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ht="15.75" customHeight="1" spans="1:25">
      <c r="A893" s="36"/>
      <c r="B893" s="15"/>
      <c r="C893" s="38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ht="15.75" customHeight="1" spans="1:25">
      <c r="A894" s="36"/>
      <c r="B894" s="15"/>
      <c r="C894" s="38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ht="15.75" customHeight="1" spans="1:25">
      <c r="A895" s="36"/>
      <c r="B895" s="15"/>
      <c r="C895" s="38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ht="15.75" customHeight="1" spans="1:25">
      <c r="A896" s="36"/>
      <c r="B896" s="15"/>
      <c r="C896" s="38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ht="15.75" customHeight="1" spans="1:25">
      <c r="A897" s="36"/>
      <c r="B897" s="15"/>
      <c r="C897" s="38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ht="15.75" customHeight="1" spans="1:25">
      <c r="A898" s="36"/>
      <c r="B898" s="15"/>
      <c r="C898" s="38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ht="15.75" customHeight="1" spans="1:25">
      <c r="A899" s="36"/>
      <c r="B899" s="15"/>
      <c r="C899" s="38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ht="15.75" customHeight="1" spans="1:25">
      <c r="A900" s="36"/>
      <c r="B900" s="15"/>
      <c r="C900" s="38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ht="15.75" customHeight="1" spans="1:25">
      <c r="A901" s="36"/>
      <c r="B901" s="15"/>
      <c r="C901" s="38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ht="15.75" customHeight="1" spans="1:25">
      <c r="A902" s="36"/>
      <c r="B902" s="15"/>
      <c r="C902" s="38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ht="15.75" customHeight="1" spans="1:25">
      <c r="A903" s="36"/>
      <c r="B903" s="15"/>
      <c r="C903" s="38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ht="15.75" customHeight="1" spans="1:25">
      <c r="A904" s="36"/>
      <c r="B904" s="15"/>
      <c r="C904" s="38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ht="15.75" customHeight="1" spans="1:25">
      <c r="A905" s="36"/>
      <c r="B905" s="15"/>
      <c r="C905" s="38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ht="15.75" customHeight="1" spans="1:25">
      <c r="A906" s="36"/>
      <c r="B906" s="15"/>
      <c r="C906" s="38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ht="15.75" customHeight="1" spans="1:25">
      <c r="A907" s="36"/>
      <c r="B907" s="15"/>
      <c r="C907" s="38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ht="15.75" customHeight="1" spans="1:25">
      <c r="A908" s="36"/>
      <c r="B908" s="15"/>
      <c r="C908" s="38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ht="15.75" customHeight="1" spans="1:25">
      <c r="A909" s="36"/>
      <c r="B909" s="15"/>
      <c r="C909" s="38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ht="15.75" customHeight="1" spans="1:25">
      <c r="A910" s="36"/>
      <c r="B910" s="15"/>
      <c r="C910" s="38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ht="15.75" customHeight="1" spans="1:25">
      <c r="A911" s="36"/>
      <c r="B911" s="15"/>
      <c r="C911" s="38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ht="15.75" customHeight="1" spans="1:25">
      <c r="A912" s="36"/>
      <c r="B912" s="15"/>
      <c r="C912" s="38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ht="15.75" customHeight="1" spans="1:25">
      <c r="A913" s="36"/>
      <c r="B913" s="15"/>
      <c r="C913" s="38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ht="15.75" customHeight="1" spans="1:25">
      <c r="A914" s="36"/>
      <c r="B914" s="15"/>
      <c r="C914" s="38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ht="15.75" customHeight="1" spans="1:25">
      <c r="A915" s="36"/>
      <c r="B915" s="15"/>
      <c r="C915" s="38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ht="15.75" customHeight="1" spans="1:25">
      <c r="A916" s="36"/>
      <c r="B916" s="15"/>
      <c r="C916" s="38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ht="15.75" customHeight="1" spans="1:25">
      <c r="A917" s="36"/>
      <c r="B917" s="15"/>
      <c r="C917" s="38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ht="15.75" customHeight="1" spans="1:25">
      <c r="A918" s="36"/>
      <c r="B918" s="15"/>
      <c r="C918" s="38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ht="15.75" customHeight="1" spans="1:25">
      <c r="A919" s="36"/>
      <c r="B919" s="15"/>
      <c r="C919" s="38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ht="15.75" customHeight="1" spans="1:25">
      <c r="A920" s="36"/>
      <c r="B920" s="15"/>
      <c r="C920" s="38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ht="15.75" customHeight="1" spans="1:25">
      <c r="A921" s="36"/>
      <c r="B921" s="15"/>
      <c r="C921" s="38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ht="15.75" customHeight="1" spans="1:25">
      <c r="A922" s="36"/>
      <c r="B922" s="15"/>
      <c r="C922" s="38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ht="15.75" customHeight="1" spans="1:25">
      <c r="A923" s="36"/>
      <c r="B923" s="15"/>
      <c r="C923" s="38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ht="15.75" customHeight="1" spans="1:25">
      <c r="A924" s="36"/>
      <c r="B924" s="15"/>
      <c r="C924" s="38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ht="15.75" customHeight="1" spans="1:25">
      <c r="A925" s="36"/>
      <c r="B925" s="15"/>
      <c r="C925" s="38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ht="15.75" customHeight="1" spans="1:25">
      <c r="A926" s="36"/>
      <c r="B926" s="15"/>
      <c r="C926" s="38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ht="15.75" customHeight="1" spans="1:25">
      <c r="A927" s="36"/>
      <c r="B927" s="15"/>
      <c r="C927" s="38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ht="15.75" customHeight="1" spans="1:25">
      <c r="A928" s="36"/>
      <c r="B928" s="15"/>
      <c r="C928" s="38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ht="15.75" customHeight="1" spans="1:25">
      <c r="A929" s="36"/>
      <c r="B929" s="15"/>
      <c r="C929" s="38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ht="15.75" customHeight="1" spans="1:25">
      <c r="A930" s="36"/>
      <c r="B930" s="15"/>
      <c r="C930" s="38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ht="15.75" customHeight="1" spans="1:25">
      <c r="A931" s="36"/>
      <c r="B931" s="15"/>
      <c r="C931" s="38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ht="15.75" customHeight="1" spans="1:25">
      <c r="A932" s="36"/>
      <c r="B932" s="15"/>
      <c r="C932" s="38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ht="15.75" customHeight="1" spans="1:25">
      <c r="A933" s="36"/>
      <c r="B933" s="15"/>
      <c r="C933" s="38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ht="15.75" customHeight="1" spans="1:25">
      <c r="A934" s="36"/>
      <c r="B934" s="15"/>
      <c r="C934" s="38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ht="15.75" customHeight="1" spans="1:25">
      <c r="A935" s="36"/>
      <c r="B935" s="15"/>
      <c r="C935" s="38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ht="15.75" customHeight="1" spans="1:25">
      <c r="A936" s="36"/>
      <c r="B936" s="15"/>
      <c r="C936" s="38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ht="15.75" customHeight="1" spans="1:25">
      <c r="A937" s="36"/>
      <c r="B937" s="15"/>
      <c r="C937" s="38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ht="15.75" customHeight="1" spans="1:25">
      <c r="A938" s="36"/>
      <c r="B938" s="15"/>
      <c r="C938" s="38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ht="15.75" customHeight="1" spans="1:25">
      <c r="A939" s="36"/>
      <c r="B939" s="15"/>
      <c r="C939" s="38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ht="15.75" customHeight="1" spans="1:25">
      <c r="A940" s="36"/>
      <c r="B940" s="15"/>
      <c r="C940" s="38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ht="15.75" customHeight="1" spans="1:25">
      <c r="A941" s="36"/>
      <c r="B941" s="15"/>
      <c r="C941" s="38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ht="15.75" customHeight="1" spans="1:25">
      <c r="A942" s="36"/>
      <c r="B942" s="15"/>
      <c r="C942" s="38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ht="15.75" customHeight="1" spans="1:25">
      <c r="A943" s="36"/>
      <c r="B943" s="15"/>
      <c r="C943" s="38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ht="15.75" customHeight="1" spans="1:25">
      <c r="A944" s="36"/>
      <c r="B944" s="15"/>
      <c r="C944" s="38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ht="15.75" customHeight="1" spans="1:25">
      <c r="A945" s="36"/>
      <c r="B945" s="15"/>
      <c r="C945" s="38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ht="15.75" customHeight="1" spans="1:25">
      <c r="A946" s="36"/>
      <c r="B946" s="15"/>
      <c r="C946" s="38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 ht="15.75" customHeight="1" spans="1:25">
      <c r="A947" s="36"/>
      <c r="B947" s="15"/>
      <c r="C947" s="38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 ht="15.75" customHeight="1" spans="1:25">
      <c r="A948" s="36"/>
      <c r="B948" s="15"/>
      <c r="C948" s="38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 ht="15.75" customHeight="1" spans="1:25">
      <c r="A949" s="36"/>
      <c r="B949" s="15"/>
      <c r="C949" s="38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ht="15.75" customHeight="1" spans="1:25">
      <c r="A950" s="36"/>
      <c r="B950" s="15"/>
      <c r="C950" s="38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 ht="15.75" customHeight="1" spans="1:25">
      <c r="A951" s="36"/>
      <c r="B951" s="15"/>
      <c r="C951" s="38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 ht="15.75" customHeight="1" spans="1:25">
      <c r="A952" s="36"/>
      <c r="B952" s="15"/>
      <c r="C952" s="38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 ht="15.75" customHeight="1" spans="1:25">
      <c r="A953" s="36"/>
      <c r="B953" s="15"/>
      <c r="C953" s="38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 ht="15.75" customHeight="1" spans="1:25">
      <c r="A954" s="36"/>
      <c r="B954" s="15"/>
      <c r="C954" s="38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ht="15.75" customHeight="1" spans="1:25">
      <c r="A955" s="36"/>
      <c r="B955" s="15"/>
      <c r="C955" s="38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 ht="15.75" customHeight="1" spans="1:25">
      <c r="A956" s="36"/>
      <c r="B956" s="15"/>
      <c r="C956" s="38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 ht="15.75" customHeight="1" spans="1:25">
      <c r="A957" s="36"/>
      <c r="B957" s="15"/>
      <c r="C957" s="38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 ht="15.75" customHeight="1" spans="1:25">
      <c r="A958" s="36"/>
      <c r="B958" s="15"/>
      <c r="C958" s="38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 ht="15.75" customHeight="1" spans="1:25">
      <c r="A959" s="36"/>
      <c r="B959" s="15"/>
      <c r="C959" s="38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 ht="15.75" customHeight="1" spans="1:25">
      <c r="A960" s="36"/>
      <c r="B960" s="15"/>
      <c r="C960" s="38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 ht="15.75" customHeight="1" spans="1:25">
      <c r="A961" s="36"/>
      <c r="B961" s="15"/>
      <c r="C961" s="38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 ht="15.75" customHeight="1" spans="1:25">
      <c r="A962" s="36"/>
      <c r="B962" s="15"/>
      <c r="C962" s="38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 ht="15.75" customHeight="1" spans="1:25">
      <c r="A963" s="36"/>
      <c r="B963" s="15"/>
      <c r="C963" s="38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 ht="15.75" customHeight="1" spans="1:25">
      <c r="A964" s="36"/>
      <c r="B964" s="15"/>
      <c r="C964" s="38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ht="15.75" customHeight="1" spans="1:25">
      <c r="A965" s="36"/>
      <c r="B965" s="15"/>
      <c r="C965" s="38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 ht="15.75" customHeight="1" spans="1:25">
      <c r="A966" s="36"/>
      <c r="B966" s="15"/>
      <c r="C966" s="38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 ht="15.75" customHeight="1" spans="1:25">
      <c r="A967" s="36"/>
      <c r="B967" s="15"/>
      <c r="C967" s="38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 ht="15.75" customHeight="1" spans="1:25">
      <c r="A968" s="36"/>
      <c r="B968" s="15"/>
      <c r="C968" s="38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ht="15.75" customHeight="1" spans="1:25">
      <c r="A969" s="36"/>
      <c r="B969" s="15"/>
      <c r="C969" s="38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 ht="15.75" customHeight="1" spans="1:25">
      <c r="A970" s="36"/>
      <c r="B970" s="15"/>
      <c r="C970" s="38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 ht="15.75" customHeight="1" spans="1:25">
      <c r="A971" s="36"/>
      <c r="B971" s="15"/>
      <c r="C971" s="38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 ht="15.75" customHeight="1" spans="1:25">
      <c r="A972" s="36"/>
      <c r="B972" s="15"/>
      <c r="C972" s="38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ht="15.75" customHeight="1" spans="1:25">
      <c r="A973" s="36"/>
      <c r="B973" s="15"/>
      <c r="C973" s="38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 ht="15.75" customHeight="1" spans="1:25">
      <c r="A974" s="36"/>
      <c r="B974" s="15"/>
      <c r="C974" s="38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 ht="15.75" customHeight="1" spans="1:25">
      <c r="A975" s="36"/>
      <c r="B975" s="15"/>
      <c r="C975" s="38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ht="15.75" customHeight="1" spans="1:25">
      <c r="A976" s="36"/>
      <c r="B976" s="15"/>
      <c r="C976" s="38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ht="15.75" customHeight="1" spans="1:25">
      <c r="A977" s="36"/>
      <c r="B977" s="15"/>
      <c r="C977" s="38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 ht="15.75" customHeight="1" spans="1:25">
      <c r="A978" s="36"/>
      <c r="B978" s="15"/>
      <c r="C978" s="38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 ht="15.75" customHeight="1" spans="1:25">
      <c r="A979" s="36"/>
      <c r="B979" s="15"/>
      <c r="C979" s="38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 ht="15.75" customHeight="1" spans="1:25">
      <c r="A980" s="36"/>
      <c r="B980" s="15"/>
      <c r="C980" s="38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 ht="15.75" customHeight="1" spans="1:25">
      <c r="A981" s="36"/>
      <c r="B981" s="15"/>
      <c r="C981" s="38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ht="15.75" customHeight="1" spans="1:25">
      <c r="A982" s="36"/>
      <c r="B982" s="15"/>
      <c r="C982" s="38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 ht="15.75" customHeight="1" spans="1:25">
      <c r="A983" s="36"/>
      <c r="B983" s="15"/>
      <c r="C983" s="38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 ht="15.75" customHeight="1" spans="1:25">
      <c r="A984" s="36"/>
      <c r="B984" s="15"/>
      <c r="C984" s="38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 ht="15.75" customHeight="1" spans="1:25">
      <c r="A985" s="36"/>
      <c r="B985" s="15"/>
      <c r="C985" s="38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ht="15.75" customHeight="1" spans="1:25">
      <c r="A986" s="36"/>
      <c r="B986" s="15"/>
      <c r="C986" s="38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 ht="15.75" customHeight="1" spans="1:25">
      <c r="A987" s="36"/>
      <c r="B987" s="15"/>
      <c r="C987" s="38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  <row r="988" ht="15.75" customHeight="1" spans="1:25">
      <c r="A988" s="36"/>
      <c r="B988" s="15"/>
      <c r="C988" s="38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</row>
    <row r="989" ht="15.75" customHeight="1" spans="1:25">
      <c r="A989" s="36"/>
      <c r="B989" s="15"/>
      <c r="C989" s="38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 ht="15.75" customHeight="1" spans="1:25">
      <c r="A990" s="36"/>
      <c r="B990" s="15"/>
      <c r="C990" s="38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</row>
    <row r="991" ht="15.75" customHeight="1" spans="1:25">
      <c r="A991" s="36"/>
      <c r="B991" s="15"/>
      <c r="C991" s="38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</row>
    <row r="992" ht="15.75" customHeight="1" spans="1:25">
      <c r="A992" s="36"/>
      <c r="B992" s="15"/>
      <c r="C992" s="38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</row>
    <row r="993" ht="15.75" customHeight="1" spans="1:25">
      <c r="A993" s="36"/>
      <c r="B993" s="15"/>
      <c r="C993" s="38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</row>
    <row r="994" ht="15.75" customHeight="1" spans="1:25">
      <c r="A994" s="36"/>
      <c r="B994" s="15"/>
      <c r="C994" s="38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</row>
    <row r="995" ht="15.75" customHeight="1" spans="1:25">
      <c r="A995" s="36"/>
      <c r="B995" s="15"/>
      <c r="C995" s="38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</row>
    <row r="996" ht="15.75" customHeight="1" spans="1:25">
      <c r="A996" s="36"/>
      <c r="B996" s="15"/>
      <c r="C996" s="38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  <row r="997" ht="15.75" customHeight="1" spans="1:25">
      <c r="A997" s="36"/>
      <c r="B997" s="15"/>
      <c r="C997" s="38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</row>
    <row r="998" ht="15.75" customHeight="1" spans="1:25">
      <c r="A998" s="36"/>
      <c r="B998" s="15"/>
      <c r="C998" s="38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</row>
    <row r="999" ht="15.75" customHeight="1" spans="1:25">
      <c r="A999" s="36"/>
      <c r="B999" s="15"/>
      <c r="C999" s="38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</row>
    <row r="1000" ht="15.75" customHeight="1" spans="1:25">
      <c r="A1000" s="36"/>
      <c r="B1000" s="15"/>
      <c r="C1000" s="38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</row>
    <row r="1001" ht="15.75" customHeight="1" spans="1:25">
      <c r="A1001" s="36"/>
      <c r="B1001" s="15"/>
      <c r="C1001" s="38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</row>
    <row r="1002" ht="15.75" customHeight="1" spans="1:25">
      <c r="A1002" s="36"/>
      <c r="B1002" s="15"/>
      <c r="C1002" s="38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</row>
    <row r="1003" ht="15.75" customHeight="1" spans="1:25">
      <c r="A1003" s="36"/>
      <c r="B1003" s="15"/>
      <c r="C1003" s="38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</row>
    <row r="1004" ht="15.75" customHeight="1" spans="1:25">
      <c r="A1004" s="36"/>
      <c r="B1004" s="15"/>
      <c r="C1004" s="38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</row>
    <row r="1005" ht="15.75" customHeight="1" spans="1:25">
      <c r="A1005" s="36"/>
      <c r="B1005" s="15"/>
      <c r="C1005" s="38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</row>
    <row r="1006" ht="15.75" customHeight="1" spans="1:25">
      <c r="A1006" s="36"/>
      <c r="B1006" s="15"/>
      <c r="C1006" s="38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</row>
    <row r="1007" ht="15.75" customHeight="1" spans="1:25">
      <c r="A1007" s="36"/>
      <c r="B1007" s="15"/>
      <c r="C1007" s="38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</row>
    <row r="1008" ht="15.75" customHeight="1" spans="1:25">
      <c r="A1008" s="36"/>
      <c r="B1008" s="15"/>
      <c r="C1008" s="38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</row>
    <row r="1009" ht="15.75" customHeight="1" spans="1:25">
      <c r="A1009" s="36"/>
      <c r="B1009" s="15"/>
      <c r="C1009" s="38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</row>
    <row r="1010" ht="15.75" customHeight="1" spans="1:25">
      <c r="A1010" s="36"/>
      <c r="B1010" s="15"/>
      <c r="C1010" s="38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</row>
    <row r="1011" ht="15.75" customHeight="1" spans="1:25">
      <c r="A1011" s="36"/>
      <c r="B1011" s="15"/>
      <c r="C1011" s="38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</row>
    <row r="1012" ht="15.75" customHeight="1" spans="1:25">
      <c r="A1012" s="36"/>
      <c r="B1012" s="15"/>
      <c r="C1012" s="38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</row>
    <row r="1013" ht="15.75" customHeight="1" spans="1:25">
      <c r="A1013" s="36"/>
      <c r="B1013" s="15"/>
      <c r="C1013" s="38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</row>
    <row r="1014" ht="15.75" customHeight="1" spans="1:25">
      <c r="A1014" s="36"/>
      <c r="B1014" s="15"/>
      <c r="C1014" s="38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</row>
    <row r="1015" ht="15.75" customHeight="1" spans="1:25">
      <c r="A1015" s="36"/>
      <c r="B1015" s="15"/>
      <c r="C1015" s="38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</row>
    <row r="1016" ht="15.75" customHeight="1" spans="1:25">
      <c r="A1016" s="36"/>
      <c r="B1016" s="15"/>
      <c r="C1016" s="38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</row>
    <row r="1017" ht="15.75" customHeight="1" spans="1:25">
      <c r="A1017" s="36"/>
      <c r="B1017" s="15"/>
      <c r="C1017" s="38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</row>
    <row r="1018" ht="15.75" customHeight="1" spans="1:25">
      <c r="A1018" s="36"/>
      <c r="B1018" s="15"/>
      <c r="C1018" s="38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</row>
    <row r="1019" ht="15.75" customHeight="1" spans="1:25">
      <c r="A1019" s="36"/>
      <c r="B1019" s="15"/>
      <c r="C1019" s="38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</row>
    <row r="1020" ht="15.75" customHeight="1" spans="1:25">
      <c r="A1020" s="36"/>
      <c r="B1020" s="15"/>
      <c r="C1020" s="38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</row>
    <row r="1021" ht="15.75" customHeight="1" spans="1:25">
      <c r="A1021" s="36"/>
      <c r="B1021" s="15"/>
      <c r="C1021" s="38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</row>
    <row r="1022" ht="15.75" customHeight="1" spans="1:25">
      <c r="A1022" s="36"/>
      <c r="B1022" s="15"/>
      <c r="C1022" s="38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</row>
    <row r="1023" ht="15.75" customHeight="1" spans="1:25">
      <c r="A1023" s="36"/>
      <c r="B1023" s="15"/>
      <c r="C1023" s="38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</row>
    <row r="1024" ht="15.75" customHeight="1" spans="1:25">
      <c r="A1024" s="36"/>
      <c r="B1024" s="15"/>
      <c r="C1024" s="38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</row>
    <row r="1025" ht="15.75" customHeight="1" spans="1:25">
      <c r="A1025" s="36"/>
      <c r="B1025" s="15"/>
      <c r="C1025" s="38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</row>
    <row r="1026" ht="15.75" customHeight="1" spans="1:25">
      <c r="A1026" s="36"/>
      <c r="B1026" s="15"/>
      <c r="C1026" s="38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</row>
    <row r="1027" ht="15.75" customHeight="1" spans="1:25">
      <c r="A1027" s="36"/>
      <c r="B1027" s="15"/>
      <c r="C1027" s="38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</row>
    <row r="1028" ht="15.75" customHeight="1" spans="1:25">
      <c r="A1028" s="36"/>
      <c r="B1028" s="15"/>
      <c r="C1028" s="38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</row>
    <row r="1029" ht="15.75" customHeight="1" spans="1:25">
      <c r="A1029" s="36"/>
      <c r="B1029" s="15"/>
      <c r="C1029" s="38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</row>
    <row r="1030" ht="15.75" customHeight="1" spans="1:25">
      <c r="A1030" s="36"/>
      <c r="B1030" s="15"/>
      <c r="C1030" s="38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</row>
    <row r="1031" ht="15.75" customHeight="1" spans="1:25">
      <c r="A1031" s="36"/>
      <c r="B1031" s="15"/>
      <c r="C1031" s="38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</row>
    <row r="1032" ht="15.75" customHeight="1" spans="1:25">
      <c r="A1032" s="36"/>
      <c r="B1032" s="15"/>
      <c r="C1032" s="38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</row>
    <row r="1033" ht="15.75" customHeight="1" spans="1:25">
      <c r="A1033" s="36"/>
      <c r="B1033" s="15"/>
      <c r="C1033" s="38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</row>
    <row r="1034" ht="15.75" customHeight="1" spans="1:25">
      <c r="A1034" s="36"/>
      <c r="B1034" s="15"/>
      <c r="C1034" s="38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</row>
    <row r="1035" ht="15.75" customHeight="1" spans="1:25">
      <c r="A1035" s="36"/>
      <c r="B1035" s="15"/>
      <c r="C1035" s="38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</row>
    <row r="1036" ht="15.75" customHeight="1" spans="1:25">
      <c r="A1036" s="36"/>
      <c r="B1036" s="15"/>
      <c r="C1036" s="38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</row>
    <row r="1037" ht="15.75" customHeight="1" spans="1:25">
      <c r="A1037" s="36"/>
      <c r="B1037" s="15"/>
      <c r="C1037" s="38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</row>
    <row r="1038" ht="15.75" customHeight="1" spans="1:25">
      <c r="A1038" s="36"/>
      <c r="B1038" s="15"/>
      <c r="C1038" s="38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</row>
    <row r="1039" ht="15.75" customHeight="1" spans="1:25">
      <c r="A1039" s="36"/>
      <c r="B1039" s="15"/>
      <c r="C1039" s="38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</row>
    <row r="1040" ht="15.75" customHeight="1" spans="1:25">
      <c r="A1040" s="36"/>
      <c r="B1040" s="15"/>
      <c r="C1040" s="38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</row>
    <row r="1041" ht="15.75" customHeight="1" spans="1:25">
      <c r="A1041" s="36"/>
      <c r="B1041" s="15"/>
      <c r="C1041" s="38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</row>
    <row r="1042" ht="15.75" customHeight="1" spans="1:25">
      <c r="A1042" s="36"/>
      <c r="B1042" s="15"/>
      <c r="C1042" s="38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</row>
    <row r="1043" ht="15.75" customHeight="1" spans="1:25">
      <c r="A1043" s="36"/>
      <c r="B1043" s="15"/>
      <c r="C1043" s="38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</row>
    <row r="1044" ht="15.75" customHeight="1" spans="1:25">
      <c r="A1044" s="36"/>
      <c r="B1044" s="15"/>
      <c r="C1044" s="38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</row>
    <row r="1045" ht="15.75" customHeight="1" spans="1:25">
      <c r="A1045" s="36"/>
      <c r="B1045" s="15"/>
      <c r="C1045" s="38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</row>
    <row r="1046" ht="15.75" customHeight="1" spans="1:25">
      <c r="A1046" s="36"/>
      <c r="B1046" s="15"/>
      <c r="C1046" s="38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</row>
    <row r="1047" ht="15.75" customHeight="1" spans="1:25">
      <c r="A1047" s="36"/>
      <c r="B1047" s="15"/>
      <c r="C1047" s="38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</row>
    <row r="1048" ht="15.75" customHeight="1" spans="1:25">
      <c r="A1048" s="36"/>
      <c r="B1048" s="15"/>
      <c r="C1048" s="38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</row>
    <row r="1049" ht="15.75" customHeight="1" spans="1:25">
      <c r="A1049" s="36"/>
      <c r="B1049" s="15"/>
      <c r="C1049" s="38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</row>
    <row r="1050" ht="15.75" customHeight="1" spans="1:25">
      <c r="A1050" s="36"/>
      <c r="B1050" s="15"/>
      <c r="C1050" s="38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</row>
    <row r="1051" ht="15.75" customHeight="1" spans="1:25">
      <c r="A1051" s="36"/>
      <c r="B1051" s="15"/>
      <c r="C1051" s="38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</row>
    <row r="1052" ht="15.75" customHeight="1" spans="1:25">
      <c r="A1052" s="36"/>
      <c r="B1052" s="15"/>
      <c r="C1052" s="38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</row>
    <row r="1053" ht="15.75" customHeight="1" spans="1:25">
      <c r="A1053" s="36"/>
      <c r="B1053" s="15"/>
      <c r="C1053" s="38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ht="15.75" customHeight="1" spans="1:25">
      <c r="A1054" s="36"/>
      <c r="B1054" s="15"/>
      <c r="C1054" s="38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</row>
    <row r="1055" ht="15.75" customHeight="1" spans="1:25">
      <c r="A1055" s="36"/>
      <c r="B1055" s="15"/>
      <c r="C1055" s="38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</row>
    <row r="1056" ht="15.75" customHeight="1" spans="1:25">
      <c r="A1056" s="36"/>
      <c r="B1056" s="15"/>
      <c r="C1056" s="38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</row>
    <row r="1057" ht="15.75" customHeight="1" spans="1:25">
      <c r="A1057" s="36"/>
      <c r="B1057" s="15"/>
      <c r="C1057" s="38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</row>
    <row r="1058" ht="15.75" customHeight="1" spans="1:25">
      <c r="A1058" s="36"/>
      <c r="B1058" s="15"/>
      <c r="C1058" s="38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</row>
    <row r="1059" ht="15.75" customHeight="1" spans="1:25">
      <c r="A1059" s="36"/>
      <c r="B1059" s="15"/>
      <c r="C1059" s="38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</row>
    <row r="1060" ht="15.75" customHeight="1" spans="1:25">
      <c r="A1060" s="36"/>
      <c r="B1060" s="15"/>
      <c r="C1060" s="38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</row>
    <row r="1061" ht="15.75" customHeight="1" spans="1:25">
      <c r="A1061" s="36"/>
      <c r="B1061" s="15"/>
      <c r="C1061" s="38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</row>
    <row r="1062" ht="15.75" customHeight="1" spans="1:25">
      <c r="A1062" s="36"/>
      <c r="B1062" s="15"/>
      <c r="C1062" s="38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ht="15.75" customHeight="1" spans="1:25">
      <c r="A1063" s="36"/>
      <c r="B1063" s="15"/>
      <c r="C1063" s="38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</row>
    <row r="1064" ht="15.75" customHeight="1" spans="1:25">
      <c r="A1064" s="36"/>
      <c r="B1064" s="15"/>
      <c r="C1064" s="38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</row>
    <row r="1065" ht="15.75" customHeight="1" spans="1:25">
      <c r="A1065" s="36"/>
      <c r="B1065" s="15"/>
      <c r="C1065" s="38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</row>
    <row r="1066" ht="15.75" customHeight="1" spans="1:25">
      <c r="A1066" s="36"/>
      <c r="B1066" s="15"/>
      <c r="C1066" s="38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</row>
    <row r="1067" ht="15.75" customHeight="1" spans="1:25">
      <c r="A1067" s="36"/>
      <c r="B1067" s="15"/>
      <c r="C1067" s="38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</row>
    <row r="1068" ht="15.75" customHeight="1" spans="1:25">
      <c r="A1068" s="36"/>
      <c r="B1068" s="15"/>
      <c r="C1068" s="38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</row>
    <row r="1069" ht="15.75" customHeight="1" spans="1:25">
      <c r="A1069" s="36"/>
      <c r="B1069" s="15"/>
      <c r="C1069" s="38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</row>
    <row r="1070" ht="15.75" customHeight="1"/>
    <row r="1071" ht="15.75" customHeight="1"/>
    <row r="1072" ht="15.75" customHeight="1"/>
    <row r="1073" ht="15.75" customHeight="1"/>
    <row r="1074" ht="15.75" customHeight="1"/>
  </sheetData>
  <mergeCells count="17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D4:D7"/>
    <mergeCell ref="Q5:Q6"/>
    <mergeCell ref="B4:C7"/>
    <mergeCell ref="B8:C10"/>
    <mergeCell ref="B11:C13"/>
    <mergeCell ref="B14:C16"/>
    <mergeCell ref="B17:C19"/>
    <mergeCell ref="B20:C22"/>
  </mergeCells>
  <printOptions horizontalCentered="1"/>
  <pageMargins left="0.7" right="0.7" top="0.75" bottom="0.75" header="0.511811023622047" footer="0.511811023622047"/>
  <pageSetup paperSize="9" fitToHeight="0" pageOrder="overThenDown" orientation="landscape" horizontalDpi="300" verticalDpi="300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Y74"/>
  <sheetViews>
    <sheetView topLeftCell="C1" workbookViewId="0">
      <selection activeCell="F25" sqref="F25"/>
    </sheetView>
  </sheetViews>
  <sheetFormatPr defaultColWidth="14.43" defaultRowHeight="15" customHeight="1"/>
  <cols>
    <col min="1" max="1" width="14.57" customWidth="1"/>
    <col min="2" max="2" width="24.43" customWidth="1"/>
    <col min="3" max="3" width="8.86" customWidth="1"/>
    <col min="4" max="4" width="42.58" customWidth="1"/>
    <col min="5" max="5" width="15.86" customWidth="1"/>
    <col min="6" max="6" width="16" customWidth="1"/>
    <col min="7" max="7" width="13.29" customWidth="1"/>
    <col min="8" max="8" width="65.43" customWidth="1"/>
    <col min="9" max="9" width="6.43" customWidth="1"/>
    <col min="10" max="10" width="11.71" customWidth="1"/>
    <col min="11" max="11" width="6.57" customWidth="1"/>
    <col min="12" max="12" width="10.58" customWidth="1"/>
    <col min="13" max="13" width="7.14" customWidth="1"/>
    <col min="14" max="14" width="9.58" customWidth="1"/>
    <col min="15" max="15" width="4.57" customWidth="1"/>
    <col min="16" max="16" width="9.86" customWidth="1"/>
    <col min="18" max="24" width="14.43" hidden="1"/>
  </cols>
  <sheetData>
    <row r="1" ht="14.5" spans="1:25">
      <c r="A1" s="13"/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</row>
    <row r="2" customHeight="1" spans="1:25">
      <c r="A2" s="17"/>
      <c r="B2" s="18" t="s">
        <v>1367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5"/>
      <c r="S2" s="15"/>
      <c r="T2" s="15"/>
      <c r="U2" s="15"/>
      <c r="V2" s="15"/>
      <c r="W2" s="15"/>
      <c r="X2" s="15"/>
      <c r="Y2" s="16"/>
    </row>
    <row r="3" ht="14.5" spans="1:25">
      <c r="A3" s="13"/>
      <c r="B3" s="14"/>
      <c r="C3" s="14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customHeight="1" spans="1:25">
      <c r="A4" s="19"/>
      <c r="B4" s="20" t="s">
        <v>24</v>
      </c>
      <c r="C4" s="20"/>
      <c r="D4" s="21" t="s">
        <v>1330</v>
      </c>
      <c r="E4" s="21" t="s">
        <v>1331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S4" s="15"/>
      <c r="T4" s="15"/>
      <c r="U4" s="15"/>
      <c r="V4" s="15"/>
      <c r="W4" s="15"/>
      <c r="X4" s="15"/>
      <c r="Y4" s="16"/>
    </row>
    <row r="5" customHeight="1" spans="1:25">
      <c r="A5" s="19"/>
      <c r="B5" s="20"/>
      <c r="C5" s="20"/>
      <c r="D5" s="21"/>
      <c r="E5" s="21" t="s">
        <v>1332</v>
      </c>
      <c r="F5" s="21"/>
      <c r="G5" s="21"/>
      <c r="H5" s="21"/>
      <c r="I5" s="21" t="s">
        <v>1333</v>
      </c>
      <c r="J5" s="21"/>
      <c r="K5" s="21" t="s">
        <v>1334</v>
      </c>
      <c r="L5" s="21"/>
      <c r="M5" s="21"/>
      <c r="N5" s="21"/>
      <c r="O5" s="21"/>
      <c r="P5" s="21"/>
      <c r="Q5" s="22" t="s">
        <v>1335</v>
      </c>
      <c r="R5" s="15"/>
      <c r="S5" s="15"/>
      <c r="T5" s="15"/>
      <c r="U5" s="15"/>
      <c r="V5" s="15"/>
      <c r="W5" s="15"/>
      <c r="X5" s="15"/>
      <c r="Y5" s="16"/>
    </row>
    <row r="6" customHeight="1" spans="1:25">
      <c r="A6" s="19"/>
      <c r="B6" s="20"/>
      <c r="C6" s="20"/>
      <c r="D6" s="21"/>
      <c r="E6" s="21" t="s">
        <v>1336</v>
      </c>
      <c r="F6" s="21" t="s">
        <v>1337</v>
      </c>
      <c r="G6" s="21" t="s">
        <v>1338</v>
      </c>
      <c r="H6" s="23" t="s">
        <v>1339</v>
      </c>
      <c r="I6" s="21" t="s">
        <v>1338</v>
      </c>
      <c r="J6" s="21"/>
      <c r="K6" s="21" t="s">
        <v>1340</v>
      </c>
      <c r="L6" s="21"/>
      <c r="M6" s="21" t="s">
        <v>1341</v>
      </c>
      <c r="N6" s="21"/>
      <c r="O6" s="23" t="s">
        <v>1339</v>
      </c>
      <c r="P6" s="23"/>
      <c r="Q6" s="22"/>
      <c r="R6" s="15"/>
      <c r="S6" s="15"/>
      <c r="T6" s="15"/>
      <c r="U6" s="15"/>
      <c r="V6" s="15"/>
      <c r="W6" s="15"/>
      <c r="X6" s="15"/>
      <c r="Y6" s="16"/>
    </row>
    <row r="7" ht="14.5" spans="1:25">
      <c r="A7" s="19"/>
      <c r="B7" s="20"/>
      <c r="C7" s="20"/>
      <c r="D7" s="21"/>
      <c r="E7" s="21" t="s">
        <v>1342</v>
      </c>
      <c r="F7" s="21" t="s">
        <v>1342</v>
      </c>
      <c r="G7" s="21" t="s">
        <v>1342</v>
      </c>
      <c r="H7" s="23" t="s">
        <v>1342</v>
      </c>
      <c r="I7" s="21" t="s">
        <v>1343</v>
      </c>
      <c r="J7" s="21" t="s">
        <v>1344</v>
      </c>
      <c r="K7" s="21" t="s">
        <v>1343</v>
      </c>
      <c r="L7" s="21" t="s">
        <v>1344</v>
      </c>
      <c r="M7" s="21" t="s">
        <v>1343</v>
      </c>
      <c r="N7" s="21" t="s">
        <v>1344</v>
      </c>
      <c r="O7" s="23" t="s">
        <v>1343</v>
      </c>
      <c r="P7" s="23" t="s">
        <v>1344</v>
      </c>
      <c r="Q7" s="22" t="s">
        <v>1345</v>
      </c>
      <c r="R7" s="15"/>
      <c r="S7" s="15"/>
      <c r="T7" s="15"/>
      <c r="U7" s="15"/>
      <c r="V7" s="15"/>
      <c r="W7" s="15"/>
      <c r="X7" s="15"/>
      <c r="Y7" s="16"/>
    </row>
    <row r="8" customHeight="1" spans="1:25">
      <c r="A8" s="13"/>
      <c r="B8" s="24" t="s">
        <v>1168</v>
      </c>
      <c r="C8" s="24"/>
      <c r="D8" s="25" t="s">
        <v>1347</v>
      </c>
      <c r="E8" s="26">
        <f>IFERROR(__xludf.dummyfunction("IMPORTRANGE(XLOOKUP($A$9,Tabela_Dados_Esc_JAB_2026[INEP],Tabela_Dados_Esc_JAB_2026[ID]),""ESCOLA!P12"")"),15)</f>
        <v>15</v>
      </c>
      <c r="F8" s="26">
        <f>IFERROR(__xludf.dummyfunction("IMPORTRANGE(XLOOKUP($A$9,Tabela_Dados_Esc_JAB_2026[INEP],Tabela_Dados_Esc_JAB_2026[ID]),""ESCOLA!P14"")"),15)</f>
        <v>15</v>
      </c>
      <c r="G8" s="26">
        <f>IFERROR(__xludf.dummyfunction("IMPORTRANGE(XLOOKUP($A$9,Tabela_Dados_Esc_JAB_2026[INEP],Tabela_Dados_Esc_JAB_2026[ID]),""ESCOLA!P16"")"),20)</f>
        <v>20</v>
      </c>
      <c r="H8" s="27">
        <f>SUM(E8:G8)</f>
        <v>50</v>
      </c>
      <c r="I8" s="26">
        <v>0</v>
      </c>
      <c r="J8" s="26">
        <v>0</v>
      </c>
      <c r="K8" s="26">
        <f>IFERROR(__xludf.dummyfunction("IMPORTRANGE(XLOOKUP($A$9,Tabela_Dados_Esc_JAB_2026[INEP],Tabela_Dados_Esc_JAB_2026[ID]),""ESCOLA!D20"")"),20)</f>
        <v>20</v>
      </c>
      <c r="L8" s="26">
        <v>0</v>
      </c>
      <c r="M8" s="26">
        <v>0</v>
      </c>
      <c r="N8" s="26">
        <f>IFERROR(__xludf.dummyfunction("IMPORTRANGE(XLOOKUP($A$9,Tabela_Dados_Esc_JAB_2026[INEP],Tabela_Dados_Esc_JAB_2026[ID]),""ESCOLA!H22"")"),20)</f>
        <v>20</v>
      </c>
      <c r="O8" s="27">
        <f>SUM(I8,K8,M8)</f>
        <v>20</v>
      </c>
      <c r="P8" s="27">
        <f>SUM(J8,L8,N8)</f>
        <v>20</v>
      </c>
      <c r="Q8" s="28">
        <f>SUM(H8,O8,P8)</f>
        <v>90</v>
      </c>
      <c r="R8" s="15"/>
      <c r="S8" s="15"/>
      <c r="T8" s="15"/>
      <c r="U8" s="15"/>
      <c r="V8" s="15"/>
      <c r="W8" s="15"/>
      <c r="X8" s="15"/>
      <c r="Y8" s="16"/>
    </row>
    <row r="9" ht="14.5" spans="1:25">
      <c r="A9" s="13" t="s">
        <v>1167</v>
      </c>
      <c r="B9" s="24"/>
      <c r="C9" s="24"/>
      <c r="D9" s="25" t="s">
        <v>1348</v>
      </c>
      <c r="E9" s="26">
        <f>IFERROR(__xludf.dummyfunction("IMPORTRANGE(XLOOKUP($A$9,Tabela_Dados_Esc_JAB_2026[INEP],Tabela_Dados_Esc_JAB_2026[ID]),""ESCOLA!Q12"")"),15)</f>
        <v>15</v>
      </c>
      <c r="F9" s="26">
        <f>IFERROR(__xludf.dummyfunction("IMPORTRANGE(XLOOKUP($A$9,Tabela_Dados_Esc_JAB_2026[INEP],Tabela_Dados_Esc_JAB_2026[ID]),""ESCOLA!Q14"")"),14)</f>
        <v>14</v>
      </c>
      <c r="G9" s="26">
        <f>IFERROR(__xludf.dummyfunction("IMPORTRANGE(XLOOKUP($A$9,Tabela_Dados_Esc_JAB_2026[INEP],Tabela_Dados_Esc_JAB_2026[ID]),""ESCOLA!Q16"")"),19)</f>
        <v>19</v>
      </c>
      <c r="H9" s="27">
        <f>SUM(E9:G9)</f>
        <v>48</v>
      </c>
      <c r="I9" s="26">
        <f>IFERROR(__xludf.dummyfunction("IMPORTRANGE(XLOOKUP($A$9,Tabela_Dados_Esc_JAB_2026[INEP],Tabela_Dados_Esc_JAB_2026[ID]),""ESCOLA!E18"")"),0)</f>
        <v>0</v>
      </c>
      <c r="J9" s="26">
        <f>IFERROR(__xludf.dummyfunction("IMPORTRANGE(XLOOKUP($A$9,Tabela_Dados_Esc_JAB_2026[INEP],Tabela_Dados_Esc_JAB_2026[ID]),""ESCOLA!I18"")"),0)</f>
        <v>0</v>
      </c>
      <c r="K9" s="26">
        <f>IFERROR(__xludf.dummyfunction("IMPORTRANGE(XLOOKUP($A$9,Tabela_Dados_Esc_JAB_2026[INEP],Tabela_Dados_Esc_JAB_2026[ID]),""ESCOLA!E20"")"),15)</f>
        <v>15</v>
      </c>
      <c r="L9" s="26">
        <f>IFERROR(__xludf.dummyfunction("IMPORTRANGE(XLOOKUP($A$9,Tabela_Dados_Esc_JAB_2026[INEP],Tabela_Dados_Esc_JAB_2026[ID]),""ESCOLA!I20"")"),0)</f>
        <v>0</v>
      </c>
      <c r="M9" s="26">
        <f>IFERROR(__xludf.dummyfunction("IMPORTRANGE(XLOOKUP($A$9,Tabela_Dados_Esc_JAB_2026[INEP],Tabela_Dados_Esc_JAB_2026[ID]),""ESCOLA!E22"")"),0)</f>
        <v>0</v>
      </c>
      <c r="N9" s="26">
        <f>IFERROR(__xludf.dummyfunction("IMPORTRANGE(XLOOKUP($A$9,Tabela_Dados_Esc_JAB_2026[INEP],Tabela_Dados_Esc_JAB_2026[ID]),""ESCOLA!I22"")"),13)</f>
        <v>13</v>
      </c>
      <c r="O9" s="27">
        <f>SUM(I9,K9,M9)</f>
        <v>15</v>
      </c>
      <c r="P9" s="27">
        <f>SUM(J9,L9,N9)</f>
        <v>13</v>
      </c>
      <c r="Q9" s="28">
        <f>SUM(H9,O9,P9)</f>
        <v>76</v>
      </c>
      <c r="R9" s="15"/>
      <c r="S9" s="15"/>
      <c r="T9" s="15"/>
      <c r="U9" s="15"/>
      <c r="V9" s="15"/>
      <c r="W9" s="15"/>
      <c r="X9" s="15"/>
      <c r="Y9" s="16"/>
    </row>
    <row r="10" ht="14.5" spans="1:25">
      <c r="A10" s="13"/>
      <c r="B10" s="24"/>
      <c r="C10" s="24"/>
      <c r="D10" s="29" t="s">
        <v>1349</v>
      </c>
      <c r="E10" s="30">
        <f t="shared" ref="E10:Q10" si="0">SUM(E8-E9)</f>
        <v>0</v>
      </c>
      <c r="F10" s="30">
        <f t="shared" si="0"/>
        <v>1</v>
      </c>
      <c r="G10" s="30">
        <f t="shared" si="0"/>
        <v>1</v>
      </c>
      <c r="H10" s="30">
        <f t="shared" si="0"/>
        <v>2</v>
      </c>
      <c r="I10" s="30">
        <f t="shared" si="0"/>
        <v>0</v>
      </c>
      <c r="J10" s="30">
        <f t="shared" si="0"/>
        <v>0</v>
      </c>
      <c r="K10" s="30">
        <f t="shared" si="0"/>
        <v>5</v>
      </c>
      <c r="L10" s="30">
        <f t="shared" si="0"/>
        <v>0</v>
      </c>
      <c r="M10" s="30">
        <f t="shared" si="0"/>
        <v>0</v>
      </c>
      <c r="N10" s="30">
        <f t="shared" si="0"/>
        <v>7</v>
      </c>
      <c r="O10" s="30">
        <f t="shared" si="0"/>
        <v>5</v>
      </c>
      <c r="P10" s="30">
        <f t="shared" si="0"/>
        <v>7</v>
      </c>
      <c r="Q10" s="30">
        <f t="shared" si="0"/>
        <v>14</v>
      </c>
      <c r="R10" s="15"/>
      <c r="S10" s="15"/>
      <c r="T10" s="15"/>
      <c r="U10" s="15"/>
      <c r="V10" s="15"/>
      <c r="W10" s="15"/>
      <c r="X10" s="15"/>
      <c r="Y10" s="16"/>
    </row>
    <row r="11" customHeight="1" spans="1:25">
      <c r="A11" s="13"/>
      <c r="B11" s="24" t="s">
        <v>1174</v>
      </c>
      <c r="C11" s="24"/>
      <c r="D11" s="25" t="s">
        <v>1347</v>
      </c>
      <c r="E11" s="26">
        <v>0</v>
      </c>
      <c r="F11" s="26">
        <v>0</v>
      </c>
      <c r="G11" s="26">
        <v>0</v>
      </c>
      <c r="H11" s="27">
        <f>SUM(E11:G11)</f>
        <v>0</v>
      </c>
      <c r="I11" s="26">
        <f>IFERROR(__xludf.dummyfunction("IMPORTRANGE(XLOOKUP($A$12,Tabela_Dados_Esc_JAB_2026[INEP],Tabela_Dados_Esc_JAB_2026[ID]),""ESCOLA!D18"")"),20)</f>
        <v>20</v>
      </c>
      <c r="J11" s="26">
        <v>0</v>
      </c>
      <c r="K11" s="26">
        <f>IFERROR(__xludf.dummyfunction("IMPORTRANGE(XLOOKUP($A$12,Tabela_Dados_Esc_JAB_2026[INEP],Tabela_Dados_Esc_JAB_2026[ID]),""ESCOLA!D20"")"),20)</f>
        <v>20</v>
      </c>
      <c r="L11" s="26">
        <v>0</v>
      </c>
      <c r="M11" s="26">
        <v>0</v>
      </c>
      <c r="N11" s="26">
        <f>IFERROR(__xludf.dummyfunction("IMPORTRANGE(XLOOKUP($A$12,Tabela_Dados_Esc_JAB_2026[INEP],Tabela_Dados_Esc_JAB_2026[ID]),""ESCOLA!H22"")"),40)</f>
        <v>40</v>
      </c>
      <c r="O11" s="27">
        <f>SUM(I11,K11,M11)</f>
        <v>40</v>
      </c>
      <c r="P11" s="27">
        <f>SUM(J11,L11,N11)</f>
        <v>40</v>
      </c>
      <c r="Q11" s="28">
        <f>SUM(H11,O11,P11)</f>
        <v>80</v>
      </c>
      <c r="R11" s="15"/>
      <c r="S11" s="15"/>
      <c r="T11" s="15"/>
      <c r="U11" s="15"/>
      <c r="V11" s="15"/>
      <c r="W11" s="15"/>
      <c r="X11" s="15"/>
      <c r="Y11" s="16"/>
    </row>
    <row r="12" ht="14.5" spans="1:25">
      <c r="A12" s="13" t="s">
        <v>1173</v>
      </c>
      <c r="B12" s="24"/>
      <c r="C12" s="24"/>
      <c r="D12" s="25" t="s">
        <v>1348</v>
      </c>
      <c r="E12" s="26">
        <f>IFERROR(__xludf.dummyfunction("IMPORTRANGE(XLOOKUP($A$12,Tabela_Dados_Esc_JAB_2026[INEP],Tabela_Dados_Esc_JAB_2026[ID]),""ESCOLA!Q12"")"),0)</f>
        <v>0</v>
      </c>
      <c r="F12" s="26">
        <f>IFERROR(__xludf.dummyfunction("IMPORTRANGE(XLOOKUP($A$12,Tabela_Dados_Esc_JAB_2026[INEP],Tabela_Dados_Esc_JAB_2026[ID]),""ESCOLA!Q14"")"),0)</f>
        <v>0</v>
      </c>
      <c r="G12" s="26">
        <v>0</v>
      </c>
      <c r="H12" s="27">
        <f>SUM(E12:G12)</f>
        <v>0</v>
      </c>
      <c r="I12" s="26">
        <f>IFERROR(__xludf.dummyfunction("IMPORTRANGE(XLOOKUP($A$12,Tabela_Dados_Esc_JAB_2026[INEP],Tabela_Dados_Esc_JAB_2026[ID]),""ESCOLA!E18"")"),20)</f>
        <v>20</v>
      </c>
      <c r="J12" s="26">
        <f>IFERROR(__xludf.dummyfunction("IMPORTRANGE(XLOOKUP($A$12,Tabela_Dados_Esc_JAB_2026[INEP],Tabela_Dados_Esc_JAB_2026[ID]),""ESCOLA!I18"")"),0)</f>
        <v>0</v>
      </c>
      <c r="K12" s="26">
        <f>IFERROR(__xludf.dummyfunction("IMPORTRANGE(XLOOKUP($A$12,Tabela_Dados_Esc_JAB_2026[INEP],Tabela_Dados_Esc_JAB_2026[ID]),""ESCOLA!E20"")"),20)</f>
        <v>20</v>
      </c>
      <c r="L12" s="26">
        <f>IFERROR(__xludf.dummyfunction("IMPORTRANGE(XLOOKUP($A$12,Tabela_Dados_Esc_JAB_2026[INEP],Tabela_Dados_Esc_JAB_2026[ID]),""ESCOLA!I20"")"),0)</f>
        <v>0</v>
      </c>
      <c r="M12" s="26">
        <f>IFERROR(__xludf.dummyfunction("IMPORTRANGE(XLOOKUP($A$12,Tabela_Dados_Esc_JAB_2026[INEP],Tabela_Dados_Esc_JAB_2026[ID]),""ESCOLA!E22"")"),0)</f>
        <v>0</v>
      </c>
      <c r="N12" s="26">
        <f>IFERROR(__xludf.dummyfunction("IMPORTRANGE(XLOOKUP($A$12,Tabela_Dados_Esc_JAB_2026[INEP],Tabela_Dados_Esc_JAB_2026[ID]),""ESCOLA!I22"")"),40)</f>
        <v>40</v>
      </c>
      <c r="O12" s="27">
        <f>SUM(I12,K12,M12)</f>
        <v>40</v>
      </c>
      <c r="P12" s="27">
        <f>SUM(J12,L12,N12)</f>
        <v>40</v>
      </c>
      <c r="Q12" s="28">
        <f>SUM(H12,O12,P12)</f>
        <v>80</v>
      </c>
      <c r="R12" s="15"/>
      <c r="S12" s="15"/>
      <c r="T12" s="15"/>
      <c r="U12" s="15"/>
      <c r="V12" s="15"/>
      <c r="W12" s="15"/>
      <c r="X12" s="15"/>
      <c r="Y12" s="16"/>
    </row>
    <row r="13" ht="14.5" spans="1:25">
      <c r="A13" s="13"/>
      <c r="B13" s="24"/>
      <c r="C13" s="24"/>
      <c r="D13" s="29" t="s">
        <v>1349</v>
      </c>
      <c r="E13" s="30">
        <f t="shared" ref="E13:Q13" si="1">SUM(E11-E12)</f>
        <v>0</v>
      </c>
      <c r="F13" s="30">
        <f t="shared" si="1"/>
        <v>0</v>
      </c>
      <c r="G13" s="30">
        <f t="shared" si="1"/>
        <v>0</v>
      </c>
      <c r="H13" s="30">
        <f t="shared" si="1"/>
        <v>0</v>
      </c>
      <c r="I13" s="30">
        <f t="shared" si="1"/>
        <v>0</v>
      </c>
      <c r="J13" s="30">
        <f t="shared" si="1"/>
        <v>0</v>
      </c>
      <c r="K13" s="30">
        <f t="shared" si="1"/>
        <v>0</v>
      </c>
      <c r="L13" s="30">
        <f t="shared" si="1"/>
        <v>0</v>
      </c>
      <c r="M13" s="30">
        <f t="shared" si="1"/>
        <v>0</v>
      </c>
      <c r="N13" s="30">
        <f t="shared" si="1"/>
        <v>0</v>
      </c>
      <c r="O13" s="30">
        <f t="shared" si="1"/>
        <v>0</v>
      </c>
      <c r="P13" s="30">
        <f t="shared" si="1"/>
        <v>0</v>
      </c>
      <c r="Q13" s="30">
        <f t="shared" si="1"/>
        <v>0</v>
      </c>
      <c r="R13" s="15"/>
      <c r="S13" s="15"/>
      <c r="T13" s="15"/>
      <c r="U13" s="15"/>
      <c r="V13" s="15"/>
      <c r="W13" s="15"/>
      <c r="X13" s="15"/>
      <c r="Y13" s="16"/>
    </row>
    <row r="14" customHeight="1" spans="1:25">
      <c r="A14" s="13"/>
      <c r="B14" s="24" t="s">
        <v>1183</v>
      </c>
      <c r="C14" s="24"/>
      <c r="D14" s="25" t="s">
        <v>1347</v>
      </c>
      <c r="E14" s="26">
        <v>0</v>
      </c>
      <c r="F14" s="26">
        <v>0</v>
      </c>
      <c r="G14" s="26">
        <v>0</v>
      </c>
      <c r="H14" s="27">
        <f>SUM(E14:G14)</f>
        <v>0</v>
      </c>
      <c r="I14" s="26">
        <f>IFERROR(__xludf.dummyfunction("IMPORTRANGE(XLOOKUP($A$15,Tabela_Dados_Esc_JAB_2026[INEP],Tabela_Dados_Esc_JAB_2026[ID]),""ESCOLA!D18"")"),20)</f>
        <v>20</v>
      </c>
      <c r="J14" s="26">
        <f>IFERROR(__xludf.dummyfunction("IMPORTRANGE(XLOOKUP($A$15,Tabela_Dados_Esc_JAB_2026[INEP],Tabela_Dados_Esc_JAB_2026[ID]),""ESCOLA!H18"")"),20)</f>
        <v>20</v>
      </c>
      <c r="K14" s="26">
        <f>IFERROR(__xludf.dummyfunction("IMPORTRANGE(XLOOKUP($A$15,Tabela_Dados_Esc_JAB_2026[INEP],Tabela_Dados_Esc_JAB_2026[ID]),""ESCOLA!D20"")"),20)</f>
        <v>20</v>
      </c>
      <c r="L14" s="26">
        <f>IFERROR(__xludf.dummyfunction("IMPORTRANGE(XLOOKUP($A$15,Tabela_Dados_Esc_JAB_2026[INEP],Tabela_Dados_Esc_JAB_2026[ID]),""ESCOLA!H20"")"),20)</f>
        <v>20</v>
      </c>
      <c r="M14" s="26">
        <f>IFERROR(__xludf.dummyfunction("IMPORTRANGE(XLOOKUP($A$15,Tabela_Dados_Esc_JAB_2026[INEP],Tabela_Dados_Esc_JAB_2026[ID]),""ESCOLA!D22"")"),20)</f>
        <v>20</v>
      </c>
      <c r="N14" s="26">
        <f>IFERROR(__xludf.dummyfunction("IMPORTRANGE(XLOOKUP($A$15,Tabela_Dados_Esc_JAB_2026[INEP],Tabela_Dados_Esc_JAB_2026[ID]),""ESCOLA!H22"")"),20)</f>
        <v>20</v>
      </c>
      <c r="O14" s="27">
        <f>SUM(I14,K14,M14)</f>
        <v>60</v>
      </c>
      <c r="P14" s="27">
        <f>SUM(J14,L14,N14)</f>
        <v>60</v>
      </c>
      <c r="Q14" s="28">
        <f>SUM(H14,O14,P14)</f>
        <v>120</v>
      </c>
      <c r="R14" s="15"/>
      <c r="S14" s="15"/>
      <c r="T14" s="15"/>
      <c r="U14" s="15"/>
      <c r="V14" s="15"/>
      <c r="W14" s="15"/>
      <c r="X14" s="15"/>
      <c r="Y14" s="16"/>
    </row>
    <row r="15" ht="14.5" spans="1:25">
      <c r="A15" s="13" t="s">
        <v>1182</v>
      </c>
      <c r="B15" s="24"/>
      <c r="C15" s="24"/>
      <c r="D15" s="25" t="s">
        <v>1348</v>
      </c>
      <c r="E15" s="26">
        <f>IFERROR(__xludf.dummyfunction("IMPORTRANGE(XLOOKUP($A$15,Tabela_Dados_Esc_JAB_2026[INEP],Tabela_Dados_Esc_JAB_2026[ID]),""ESCOLA!Q12"")"),0)</f>
        <v>0</v>
      </c>
      <c r="F15" s="26">
        <f>IFERROR(__xludf.dummyfunction("IMPORTRANGE(XLOOKUP($A$15,Tabela_Dados_Esc_JAB_2026[INEP],Tabela_Dados_Esc_JAB_2026[ID]),""ESCOLA!Q14"")"),0)</f>
        <v>0</v>
      </c>
      <c r="G15" s="26">
        <f>IFERROR(__xludf.dummyfunction("IMPORTRANGE(XLOOKUP($A$15,Tabela_Dados_Esc_JAB_2026[INEP],Tabela_Dados_Esc_JAB_2026[ID]),""ESCOLA!Q16"")"),0)</f>
        <v>0</v>
      </c>
      <c r="H15" s="27">
        <f>SUM(E15:G15)</f>
        <v>0</v>
      </c>
      <c r="I15" s="26">
        <f>IFERROR(__xludf.dummyfunction("IMPORTRANGE(XLOOKUP($A$15,Tabela_Dados_Esc_JAB_2026[INEP],Tabela_Dados_Esc_JAB_2026[ID]),""ESCOLA!E18"")"),20)</f>
        <v>20</v>
      </c>
      <c r="J15" s="26">
        <f>IFERROR(__xludf.dummyfunction("IMPORTRANGE(XLOOKUP($A$15,Tabela_Dados_Esc_JAB_2026[INEP],Tabela_Dados_Esc_JAB_2026[ID]),""ESCOLA!I18"")"),19)</f>
        <v>19</v>
      </c>
      <c r="K15" s="26">
        <f>IFERROR(__xludf.dummyfunction("IMPORTRANGE(XLOOKUP($A$15,Tabela_Dados_Esc_JAB_2026[INEP],Tabela_Dados_Esc_JAB_2026[ID]),""ESCOLA!E20"")"),20)</f>
        <v>20</v>
      </c>
      <c r="L15" s="26">
        <f>IFERROR(__xludf.dummyfunction("IMPORTRANGE(XLOOKUP($A$15,Tabela_Dados_Esc_JAB_2026[INEP],Tabela_Dados_Esc_JAB_2026[ID]),""ESCOLA!I20"")"),20)</f>
        <v>20</v>
      </c>
      <c r="M15" s="26">
        <f>IFERROR(__xludf.dummyfunction("IMPORTRANGE(XLOOKUP($A$15,Tabela_Dados_Esc_JAB_2026[INEP],Tabela_Dados_Esc_JAB_2026[ID]),""ESCOLA!E22"")"),20)</f>
        <v>20</v>
      </c>
      <c r="N15" s="26">
        <f>IFERROR(__xludf.dummyfunction("IMPORTRANGE(XLOOKUP($A$15,Tabela_Dados_Esc_JAB_2026[INEP],Tabela_Dados_Esc_JAB_2026[ID]),""ESCOLA!I22"")"),20)</f>
        <v>20</v>
      </c>
      <c r="O15" s="27">
        <v>0</v>
      </c>
      <c r="P15" s="27">
        <f>SUM(J15,L15,N15)</f>
        <v>59</v>
      </c>
      <c r="Q15" s="28">
        <f>SUM(H15,O15,P15)</f>
        <v>59</v>
      </c>
      <c r="R15" s="15"/>
      <c r="S15" s="15"/>
      <c r="T15" s="15"/>
      <c r="U15" s="15"/>
      <c r="V15" s="15"/>
      <c r="W15" s="15"/>
      <c r="X15" s="15"/>
      <c r="Y15" s="16"/>
    </row>
    <row r="16" ht="14.5" spans="1:25">
      <c r="A16" s="13"/>
      <c r="B16" s="24"/>
      <c r="C16" s="24"/>
      <c r="D16" s="29" t="s">
        <v>1349</v>
      </c>
      <c r="E16" s="30">
        <f t="shared" ref="E16:Q16" si="2">SUM(E14-E15)</f>
        <v>0</v>
      </c>
      <c r="F16" s="30">
        <f t="shared" si="2"/>
        <v>0</v>
      </c>
      <c r="G16" s="30">
        <f t="shared" si="2"/>
        <v>0</v>
      </c>
      <c r="H16" s="30">
        <f t="shared" si="2"/>
        <v>0</v>
      </c>
      <c r="I16" s="30">
        <f t="shared" si="2"/>
        <v>0</v>
      </c>
      <c r="J16" s="30">
        <f t="shared" si="2"/>
        <v>1</v>
      </c>
      <c r="K16" s="30">
        <f t="shared" si="2"/>
        <v>0</v>
      </c>
      <c r="L16" s="30">
        <f t="shared" si="2"/>
        <v>0</v>
      </c>
      <c r="M16" s="30">
        <f t="shared" si="2"/>
        <v>0</v>
      </c>
      <c r="N16" s="30">
        <f t="shared" si="2"/>
        <v>0</v>
      </c>
      <c r="O16" s="30">
        <f t="shared" si="2"/>
        <v>60</v>
      </c>
      <c r="P16" s="30">
        <f t="shared" si="2"/>
        <v>1</v>
      </c>
      <c r="Q16" s="30">
        <f t="shared" si="2"/>
        <v>61</v>
      </c>
      <c r="R16" s="15"/>
      <c r="S16" s="15"/>
      <c r="T16" s="15"/>
      <c r="U16" s="15"/>
      <c r="V16" s="15"/>
      <c r="W16" s="15"/>
      <c r="X16" s="15"/>
      <c r="Y16" s="16"/>
    </row>
    <row r="17" customHeight="1" spans="1:25">
      <c r="A17" s="13"/>
      <c r="B17" s="24" t="s">
        <v>1368</v>
      </c>
      <c r="C17" s="24"/>
      <c r="D17" s="25" t="s">
        <v>1347</v>
      </c>
      <c r="E17" s="26">
        <f>IFERROR(__xludf.dummyfunction("IMPORTRANGE(XLOOKUP($A$18,Tabela_Dados_Esc_JAB_2026[INEP],Tabela_Dados_Esc_JAB_2026[ID]),""ESCOLA!P12"")"),30)</f>
        <v>30</v>
      </c>
      <c r="F17" s="26">
        <f>IFERROR(__xludf.dummyfunction("IMPORTRANGE(XLOOKUP($A$18,Tabela_Dados_Esc_JAB_2026[INEP],Tabela_Dados_Esc_JAB_2026[ID]),""ESCOLA!P14"")"),40)</f>
        <v>40</v>
      </c>
      <c r="G17" s="26">
        <f>IFERROR(__xludf.dummyfunction("IMPORTRANGE(XLOOKUP($A$18,Tabela_Dados_Esc_JAB_2026[INEP],Tabela_Dados_Esc_JAB_2026[ID]),""ESCOLA!P16"")"),60)</f>
        <v>60</v>
      </c>
      <c r="H17" s="27">
        <f>SUM(E17:G17)</f>
        <v>130</v>
      </c>
      <c r="I17" s="26">
        <v>0</v>
      </c>
      <c r="J17" s="26">
        <v>0</v>
      </c>
      <c r="K17" s="26">
        <f>IFERROR(__xludf.dummyfunction("IMPORTRANGE(XLOOKUP($A$18,Tabela_Dados_Esc_JAB_2026[INEP],Tabela_Dados_Esc_JAB_2026[ID]),""ESCOLA!D20"")"),40)</f>
        <v>40</v>
      </c>
      <c r="L17" s="26">
        <f>IFERROR(__xludf.dummyfunction("IMPORTRANGE(XLOOKUP($A$18,Tabela_Dados_Esc_JAB_2026[INEP],Tabela_Dados_Esc_JAB_2026[ID]),""ESCOLA!H20"")"),40)</f>
        <v>40</v>
      </c>
      <c r="M17" s="26">
        <f>IFERROR(__xludf.dummyfunction("IMPORTRANGE(XLOOKUP($A$18,Tabela_Dados_Esc_JAB_2026[INEP],Tabela_Dados_Esc_JAB_2026[ID]),""ESCOLA!D22"")"),20)</f>
        <v>20</v>
      </c>
      <c r="N17" s="26">
        <f>IFERROR(__xludf.dummyfunction("IMPORTRANGE(XLOOKUP($A$18,Tabela_Dados_Esc_JAB_2026[INEP],Tabela_Dados_Esc_JAB_2026[ID]),""ESCOLA!H22"")"),20)</f>
        <v>20</v>
      </c>
      <c r="O17" s="27">
        <f>SUM(I17,K17,M17)</f>
        <v>60</v>
      </c>
      <c r="P17" s="27">
        <f>SUM(J17,L17,N17)</f>
        <v>60</v>
      </c>
      <c r="Q17" s="28">
        <f>SUM(H17,O17,P17)</f>
        <v>250</v>
      </c>
      <c r="R17" s="15"/>
      <c r="S17" s="15"/>
      <c r="T17" s="15"/>
      <c r="U17" s="15"/>
      <c r="V17" s="15"/>
      <c r="W17" s="15"/>
      <c r="X17" s="15"/>
      <c r="Y17" s="16"/>
    </row>
    <row r="18" ht="14.5" spans="1:25">
      <c r="A18" s="13" t="s">
        <v>1159</v>
      </c>
      <c r="B18" s="24"/>
      <c r="C18" s="24"/>
      <c r="D18" s="25" t="s">
        <v>1348</v>
      </c>
      <c r="E18" s="26">
        <f>IFERROR(__xludf.dummyfunction("IMPORTRANGE(XLOOKUP($A$18,Tabela_Dados_Esc_JAB_2026[INEP],Tabela_Dados_Esc_JAB_2026[ID]),""ESCOLA!Q12"")"),29)</f>
        <v>29</v>
      </c>
      <c r="F18" s="26">
        <f>IFERROR(__xludf.dummyfunction("IMPORTRANGE(XLOOKUP($A$18,Tabela_Dados_Esc_JAB_2026[INEP],Tabela_Dados_Esc_JAB_2026[ID]),""ESCOLA!Q14"")"),38)</f>
        <v>38</v>
      </c>
      <c r="G18" s="26">
        <f>IFERROR(__xludf.dummyfunction("IMPORTRANGE(XLOOKUP($A$18,Tabela_Dados_Esc_JAB_2026[INEP],Tabela_Dados_Esc_JAB_2026[ID]),""ESCOLA!Q16"")"),60)</f>
        <v>60</v>
      </c>
      <c r="H18" s="27">
        <f>SUM(E18:G18)</f>
        <v>127</v>
      </c>
      <c r="I18" s="26">
        <f>IFERROR(__xludf.dummyfunction("IMPORTRANGE(XLOOKUP($A$18,Tabela_Dados_Esc_JAB_2026[INEP],Tabela_Dados_Esc_JAB_2026[ID]),""ESCOLA!E18"")"),0)</f>
        <v>0</v>
      </c>
      <c r="J18" s="26">
        <f>IFERROR(__xludf.dummyfunction("IMPORTRANGE(XLOOKUP($A$18,Tabela_Dados_Esc_JAB_2026[INEP],Tabela_Dados_Esc_JAB_2026[ID]),""ESCOLA!I18"")"),0)</f>
        <v>0</v>
      </c>
      <c r="K18" s="26">
        <f>IFERROR(__xludf.dummyfunction("IMPORTRANGE(XLOOKUP($A$18,Tabela_Dados_Esc_JAB_2026[INEP],Tabela_Dados_Esc_JAB_2026[ID]),""ESCOLA!E20"")"),28)</f>
        <v>28</v>
      </c>
      <c r="L18" s="26">
        <f>IFERROR(__xludf.dummyfunction("IMPORTRANGE(XLOOKUP($A$18,Tabela_Dados_Esc_JAB_2026[INEP],Tabela_Dados_Esc_JAB_2026[ID]),""ESCOLA!I20"")"),26)</f>
        <v>26</v>
      </c>
      <c r="M18" s="26">
        <f>IFERROR(__xludf.dummyfunction("IMPORTRANGE(XLOOKUP($A$18,Tabela_Dados_Esc_JAB_2026[INEP],Tabela_Dados_Esc_JAB_2026[ID]),""ESCOLA!E22"")"),14)</f>
        <v>14</v>
      </c>
      <c r="N18" s="26">
        <f>IFERROR(__xludf.dummyfunction("IMPORTRANGE(XLOOKUP($A$18,Tabela_Dados_Esc_JAB_2026[INEP],Tabela_Dados_Esc_JAB_2026[ID]),""ESCOLA!I22"")"),11)</f>
        <v>11</v>
      </c>
      <c r="O18" s="27">
        <v>0</v>
      </c>
      <c r="P18" s="27">
        <f>SUM(J18,L18,N18)</f>
        <v>37</v>
      </c>
      <c r="Q18" s="28">
        <f>SUM(H18,O18,P18)</f>
        <v>164</v>
      </c>
      <c r="R18" s="15"/>
      <c r="S18" s="15"/>
      <c r="T18" s="15"/>
      <c r="U18" s="15"/>
      <c r="V18" s="15"/>
      <c r="W18" s="15"/>
      <c r="X18" s="15"/>
      <c r="Y18" s="16"/>
    </row>
    <row r="19" ht="14.5" spans="1:25">
      <c r="A19" s="13"/>
      <c r="B19" s="24"/>
      <c r="C19" s="24"/>
      <c r="D19" s="29" t="s">
        <v>1349</v>
      </c>
      <c r="E19" s="30">
        <f t="shared" ref="E19:J19" si="3">SUM(E17-E18)</f>
        <v>1</v>
      </c>
      <c r="F19" s="30">
        <f t="shared" si="3"/>
        <v>2</v>
      </c>
      <c r="G19" s="30">
        <f t="shared" si="3"/>
        <v>0</v>
      </c>
      <c r="H19" s="30">
        <f t="shared" si="3"/>
        <v>3</v>
      </c>
      <c r="I19" s="30">
        <f t="shared" si="3"/>
        <v>0</v>
      </c>
      <c r="J19" s="30">
        <f t="shared" si="3"/>
        <v>0</v>
      </c>
      <c r="K19" s="30">
        <f t="shared" ref="K19:Q19" si="4">SUM(K17-K20)</f>
        <v>40</v>
      </c>
      <c r="L19" s="30">
        <f t="shared" si="4"/>
        <v>40</v>
      </c>
      <c r="M19" s="30">
        <f t="shared" si="4"/>
        <v>20</v>
      </c>
      <c r="N19" s="30">
        <f t="shared" si="4"/>
        <v>20</v>
      </c>
      <c r="O19" s="30">
        <f t="shared" si="4"/>
        <v>60</v>
      </c>
      <c r="P19" s="30">
        <f t="shared" si="4"/>
        <v>60</v>
      </c>
      <c r="Q19" s="30">
        <f t="shared" si="4"/>
        <v>185</v>
      </c>
      <c r="R19" s="15"/>
      <c r="S19" s="15"/>
      <c r="T19" s="15"/>
      <c r="U19" s="15"/>
      <c r="V19" s="15"/>
      <c r="W19" s="15"/>
      <c r="X19" s="15"/>
      <c r="Y19" s="16"/>
    </row>
    <row r="20" customHeight="1" spans="1:25">
      <c r="A20" s="13"/>
      <c r="B20" s="24" t="s">
        <v>1369</v>
      </c>
      <c r="C20" s="24"/>
      <c r="D20" s="25" t="s">
        <v>1347</v>
      </c>
      <c r="E20" s="26">
        <f>IFERROR(__xludf.dummyfunction("IMPORTRANGE(XLOOKUP($A$21,Tabela_Dados_Esc_JAB_2026[INEP],Tabela_Dados_Esc_JAB_2026[ID]),""ESCOLA!P12"")"),15)</f>
        <v>15</v>
      </c>
      <c r="F20" s="26">
        <f>IFERROR(__xludf.dummyfunction("IMPORTRANGE(XLOOKUP($A$21,Tabela_Dados_Esc_JAB_2026[INEP],Tabela_Dados_Esc_JAB_2026[ID]),""ESCOLA!P14"")"),30)</f>
        <v>30</v>
      </c>
      <c r="G20" s="26">
        <f>IFERROR(__xludf.dummyfunction("IMPORTRANGE(XLOOKUP($A$21,Tabela_Dados_Esc_JAB_2026[INEP],Tabela_Dados_Esc_JAB_2026[ID]),""ESCOLA!P16"")"),20)</f>
        <v>20</v>
      </c>
      <c r="H20" s="27">
        <f>SUM(E20:G20)</f>
        <v>65</v>
      </c>
      <c r="I20" s="26">
        <f>IFERROR(__xludf.dummyfunction("IMPORTRANGE(XLOOKUP($A$15,Tabela_Dados_Esc_JAB_2026[INEP],Tabela_Dados_Esc_JAB_2026[ID]),""ESCOLA!E18"")"),0)</f>
        <v>0</v>
      </c>
      <c r="J20" s="26">
        <f>IFERROR(__xludf.dummyfunction("IMPORTRANGE(XLOOKUP($A$15,Tabela_Dados_Esc_JAB_2026[INEP],Tabela_Dados_Esc_JAB_2026[ID]),""ESCOLA!I18"")"),0)</f>
        <v>0</v>
      </c>
      <c r="K20" s="26">
        <f>IFERROR(__xludf.dummyfunction("IMPORTRANGE(XLOOKUP($A$15,Tabela_Dados_Esc_JAB_2026[INEP],Tabela_Dados_Esc_JAB_2026[ID]),""ESCOLA!E20"")"),0)</f>
        <v>0</v>
      </c>
      <c r="L20" s="26">
        <f>IFERROR(__xludf.dummyfunction("IMPORTRANGE(XLOOKUP($A$15,Tabela_Dados_Esc_JAB_2026[INEP],Tabela_Dados_Esc_JAB_2026[ID]),""ESCOLA!I20"")"),0)</f>
        <v>0</v>
      </c>
      <c r="M20" s="26">
        <f>IFERROR(__xludf.dummyfunction("IMPORTRANGE(XLOOKUP($A$15,Tabela_Dados_Esc_JAB_2026[INEP],Tabela_Dados_Esc_JAB_2026[ID]),""ESCOLA!E22"")"),0)</f>
        <v>0</v>
      </c>
      <c r="N20" s="26">
        <f>IFERROR(__xludf.dummyfunction("IMPORTRANGE(XLOOKUP($A$15,Tabela_Dados_Esc_JAB_2026[INEP],Tabela_Dados_Esc_JAB_2026[ID]),""ESCOLA!I22"")"),0)</f>
        <v>0</v>
      </c>
      <c r="O20" s="27">
        <f>SUM(I20,K20,M20)</f>
        <v>0</v>
      </c>
      <c r="P20" s="27">
        <f>SUM(J20,L20,N20)</f>
        <v>0</v>
      </c>
      <c r="Q20" s="28">
        <f>SUM(H20,O20,P20)</f>
        <v>65</v>
      </c>
      <c r="R20" s="15"/>
      <c r="S20" s="15"/>
      <c r="T20" s="15"/>
      <c r="U20" s="15"/>
      <c r="V20" s="15"/>
      <c r="W20" s="15"/>
      <c r="X20" s="15"/>
      <c r="Y20" s="16"/>
    </row>
    <row r="21" ht="15.75" customHeight="1" spans="1:25">
      <c r="A21" s="13" t="s">
        <v>1198</v>
      </c>
      <c r="B21" s="24"/>
      <c r="C21" s="24"/>
      <c r="D21" s="25" t="s">
        <v>1348</v>
      </c>
      <c r="E21" s="26">
        <f>IFERROR(__xludf.dummyfunction("IMPORTRANGE(XLOOKUP($A$21,Tabela_Dados_Esc_JAB_2026[INEP],Tabela_Dados_Esc_JAB_2026[ID]),""ESCOLA!Q12"")"),15)</f>
        <v>15</v>
      </c>
      <c r="F21" s="26">
        <f>IFERROR(__xludf.dummyfunction("IMPORTRANGE(XLOOKUP($A$21,Tabela_Dados_Esc_JAB_2026[INEP],Tabela_Dados_Esc_JAB_2026[ID]),""ESCOLA!Q14"")"),30)</f>
        <v>30</v>
      </c>
      <c r="G21" s="26">
        <f>IFERROR(__xludf.dummyfunction("IMPORTRANGE(XLOOKUP($A$21,Tabela_Dados_Esc_JAB_2026[INEP],Tabela_Dados_Esc_JAB_2026[ID]),""ESCOLA!Q16"")"),20)</f>
        <v>20</v>
      </c>
      <c r="H21" s="27">
        <f>SUM(E21:G21)</f>
        <v>65</v>
      </c>
      <c r="I21" s="26">
        <f>IFERROR(__xludf.dummyfunction("IMPORTRANGE(XLOOKUP($A$21,Tabela_Dados_Esc_JAB_2026[INEP],Tabela_Dados_Esc_JAB_2026[ID]),""ESCOLA!E18"")"),0)</f>
        <v>0</v>
      </c>
      <c r="J21" s="26">
        <f>IFERROR(__xludf.dummyfunction("IMPORTRANGE(XLOOKUP($A$21,Tabela_Dados_Esc_JAB_2026[INEP],Tabela_Dados_Esc_JAB_2026[ID]),""ESCOLA!I18"")"),0)</f>
        <v>0</v>
      </c>
      <c r="K21" s="26">
        <f>IFERROR(__xludf.dummyfunction("IMPORTRANGE(XLOOKUP($A$21,Tabela_Dados_Esc_JAB_2026[INEP],Tabela_Dados_Esc_JAB_2026[ID]),""ESCOLA!E20"")"),0)</f>
        <v>0</v>
      </c>
      <c r="L21" s="26">
        <f>IFERROR(__xludf.dummyfunction("IMPORTRANGE(XLOOKUP($A$21,Tabela_Dados_Esc_JAB_2026[INEP],Tabela_Dados_Esc_JAB_2026[ID]),""ESCOLA!I20"")"),0)</f>
        <v>0</v>
      </c>
      <c r="M21" s="26">
        <f>IFERROR(__xludf.dummyfunction("IMPORTRANGE(XLOOKUP($A$21,Tabela_Dados_Esc_JAB_2026[INEP],Tabela_Dados_Esc_JAB_2026[ID]),""ESCOLA!E22"")"),0)</f>
        <v>0</v>
      </c>
      <c r="N21" s="26">
        <f>IFERROR(__xludf.dummyfunction("IMPORTRANGE(XLOOKUP($A$21,Tabela_Dados_Esc_JAB_2026[INEP],Tabela_Dados_Esc_JAB_2026[ID]),""ESCOLA!I22"")"),0)</f>
        <v>0</v>
      </c>
      <c r="O21" s="27">
        <v>0</v>
      </c>
      <c r="P21" s="27">
        <f>SUM(J21,L21,N21)</f>
        <v>0</v>
      </c>
      <c r="Q21" s="28">
        <f>SUM(H21,O21,P21)</f>
        <v>65</v>
      </c>
      <c r="R21" s="15"/>
      <c r="S21" s="15"/>
      <c r="T21" s="15"/>
      <c r="U21" s="15"/>
      <c r="V21" s="15"/>
      <c r="W21" s="15"/>
      <c r="X21" s="15"/>
      <c r="Y21" s="16"/>
    </row>
    <row r="22" ht="15.75" customHeight="1" spans="1:25">
      <c r="A22" s="13"/>
      <c r="B22" s="24"/>
      <c r="C22" s="24"/>
      <c r="D22" s="29" t="s">
        <v>1349</v>
      </c>
      <c r="E22" s="30">
        <f t="shared" ref="E22:J22" si="5">SUM(E20-E21)</f>
        <v>0</v>
      </c>
      <c r="F22" s="30">
        <f t="shared" si="5"/>
        <v>0</v>
      </c>
      <c r="G22" s="30">
        <f t="shared" si="5"/>
        <v>0</v>
      </c>
      <c r="H22" s="30">
        <f t="shared" si="5"/>
        <v>0</v>
      </c>
      <c r="I22" s="30">
        <f t="shared" si="5"/>
        <v>0</v>
      </c>
      <c r="J22" s="30">
        <f t="shared" si="5"/>
        <v>0</v>
      </c>
      <c r="K22" s="30">
        <f t="shared" ref="K22:Q22" si="6">SUM(K20-K23)</f>
        <v>0</v>
      </c>
      <c r="L22" s="30">
        <f t="shared" si="6"/>
        <v>0</v>
      </c>
      <c r="M22" s="30">
        <f t="shared" si="6"/>
        <v>0</v>
      </c>
      <c r="N22" s="30">
        <f t="shared" si="6"/>
        <v>0</v>
      </c>
      <c r="O22" s="30">
        <f t="shared" si="6"/>
        <v>0</v>
      </c>
      <c r="P22" s="30">
        <f t="shared" si="6"/>
        <v>0</v>
      </c>
      <c r="Q22" s="30">
        <f t="shared" si="6"/>
        <v>65</v>
      </c>
      <c r="R22" s="15"/>
      <c r="S22" s="15"/>
      <c r="T22" s="15"/>
      <c r="U22" s="15"/>
      <c r="V22" s="15"/>
      <c r="W22" s="15"/>
      <c r="X22" s="15"/>
      <c r="Y22" s="16"/>
    </row>
    <row r="23" ht="15.75" customHeight="1" spans="1:25">
      <c r="A23" s="13"/>
      <c r="B23" s="14"/>
      <c r="C23" s="14"/>
      <c r="D23" s="14"/>
      <c r="E23" s="14"/>
      <c r="F23" s="14"/>
      <c r="G23" s="14"/>
      <c r="H23" s="1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</row>
    <row r="24" ht="15.75" customHeight="1" spans="1:25">
      <c r="A24" s="13"/>
      <c r="B24" s="14"/>
      <c r="C24" s="14"/>
      <c r="D24" s="14"/>
      <c r="E24" s="14"/>
      <c r="F24" s="14"/>
      <c r="G24" s="14"/>
      <c r="H24" s="1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</row>
    <row r="25" ht="29" spans="1:25">
      <c r="A25" s="31" t="s">
        <v>23</v>
      </c>
      <c r="B25" s="32" t="s">
        <v>15</v>
      </c>
      <c r="C25" s="33" t="s">
        <v>1351</v>
      </c>
      <c r="D25" s="33" t="s">
        <v>16</v>
      </c>
      <c r="E25" s="33" t="s">
        <v>17</v>
      </c>
      <c r="F25" s="33" t="s">
        <v>11</v>
      </c>
      <c r="G25" s="34" t="s">
        <v>18</v>
      </c>
      <c r="H25" s="34" t="s">
        <v>19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ht="15.75" customHeight="1" spans="1:25">
      <c r="A26" s="36" t="str">
        <f t="shared" ref="A26:A70" si="7">IF(B26&lt;&gt;"","REGIONAL 7","")</f>
        <v>REGIONAL 7</v>
      </c>
      <c r="B26" s="37" t="str">
        <f>IFERROR(__xludf.dummyfunction("QUERY(dados_02!$A$2:$H$675, ""SELECT Col1, Col2, Col3, Col4, Col5, Col6, Col7  where Col8 = 'REGIONAL 7' "")"),"24/03/2026 13:31:53")</f>
        <v>24/03/2026 13:31:53</v>
      </c>
      <c r="C26" s="38" t="str">
        <f>IFERROR(__xludf.dummyfunction("""COMPUTED_VALUE"""),"1")</f>
        <v>1</v>
      </c>
      <c r="D26" s="15" t="str">
        <f>IFERROR(__xludf.dummyfunction("""COMPUTED_VALUE"""),"M. E. S. F. D. S")</f>
        <v>M. E. S. F. D. S</v>
      </c>
      <c r="E26" s="39" t="str">
        <f>IFERROR(__xludf.dummyfunction("""COMPUTED_VALUE"""),"09/06/2024")</f>
        <v>09/06/2024</v>
      </c>
      <c r="F26" s="15" t="str">
        <f>IFERROR(__xludf.dummyfunction("""COMPUTED_VALUE"""),"004******90")</f>
        <v>004******90</v>
      </c>
      <c r="G26" s="15" t="str">
        <f>IFERROR(__xludf.dummyfunction("""COMPUTED_VALUE"""),"INFANTIL 1")</f>
        <v>INFANTIL 1</v>
      </c>
      <c r="H26" s="40" t="str">
        <f>IFERROR(__xludf.dummyfunction("""COMPUTED_VALUE"""),"CEMEI DR. PAULO MENDES")</f>
        <v>CEMEI DR. PAULO MENDES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 spans="1:25">
      <c r="A27" s="36" t="str">
        <f t="shared" si="7"/>
        <v>REGIONAL 7</v>
      </c>
      <c r="B27" s="37" t="str">
        <f>IFERROR(__xludf.dummyfunction("""COMPUTED_VALUE"""),"27/03/2026 12:51:51")</f>
        <v>27/03/2026 12:51:51</v>
      </c>
      <c r="C27" s="38" t="str">
        <f>IFERROR(__xludf.dummyfunction("""COMPUTED_VALUE"""),"2")</f>
        <v>2</v>
      </c>
      <c r="D27" s="15" t="str">
        <f>IFERROR(__xludf.dummyfunction("""COMPUTED_VALUE"""),"O. B. D. S. L")</f>
        <v>O. B. D. S. L</v>
      </c>
      <c r="E27" s="39" t="str">
        <f>IFERROR(__xludf.dummyfunction("""COMPUTED_VALUE"""),"13/11/2025")</f>
        <v>13/11/2025</v>
      </c>
      <c r="F27" s="15" t="str">
        <f>IFERROR(__xludf.dummyfunction("""COMPUTED_VALUE"""),"022******00")</f>
        <v>022******00</v>
      </c>
      <c r="G27" s="15" t="str">
        <f>IFERROR(__xludf.dummyfunction("""COMPUTED_VALUE"""),"INFANTIL 1")</f>
        <v>INFANTIL 1</v>
      </c>
      <c r="H27" s="40" t="str">
        <f>IFERROR(__xludf.dummyfunction("""COMPUTED_VALUE"""),"CEMEI DR. PAULO MENDES")</f>
        <v>CEMEI DR. PAULO MENDES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 spans="1:25">
      <c r="A28" s="36" t="str">
        <f t="shared" si="7"/>
        <v>REGIONAL 7</v>
      </c>
      <c r="B28" s="37" t="str">
        <f>IFERROR(__xludf.dummyfunction("""COMPUTED_VALUE"""),"21/05/2026 11:32:39")</f>
        <v>21/05/2026 11:32:39</v>
      </c>
      <c r="C28" s="38" t="str">
        <f>IFERROR(__xludf.dummyfunction("""COMPUTED_VALUE"""),"3")</f>
        <v>3</v>
      </c>
      <c r="D28" s="15" t="str">
        <f>IFERROR(__xludf.dummyfunction("""COMPUTED_VALUE"""),"K. H. D. A. S")</f>
        <v>K. H. D. A. S</v>
      </c>
      <c r="E28" s="39" t="str">
        <f>IFERROR(__xludf.dummyfunction("""COMPUTED_VALUE"""),"01/04/2024")</f>
        <v>01/04/2024</v>
      </c>
      <c r="F28" s="15" t="str">
        <f>IFERROR(__xludf.dummyfunction("""COMPUTED_VALUE"""),"002******69")</f>
        <v>002******69</v>
      </c>
      <c r="G28" s="15" t="str">
        <f>IFERROR(__xludf.dummyfunction("""COMPUTED_VALUE"""),"INFANTIL 1")</f>
        <v>INFANTIL 1</v>
      </c>
      <c r="H28" s="40" t="str">
        <f>IFERROR(__xludf.dummyfunction("""COMPUTED_VALUE"""),"CEMEI DR. PAULO MENDES")</f>
        <v>CEMEI DR. PAULO MENDES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 spans="1:25">
      <c r="A29" s="36" t="str">
        <f t="shared" si="7"/>
        <v>REGIONAL 7</v>
      </c>
      <c r="B29" s="37" t="str">
        <f>IFERROR(__xludf.dummyfunction("""COMPUTED_VALUE"""),"22/05/2026 09:22:30")</f>
        <v>22/05/2026 09:22:30</v>
      </c>
      <c r="C29" s="38" t="str">
        <f>IFERROR(__xludf.dummyfunction("""COMPUTED_VALUE"""),"4")</f>
        <v>4</v>
      </c>
      <c r="D29" s="15" t="str">
        <f>IFERROR(__xludf.dummyfunction("""COMPUTED_VALUE"""),"A. E. M. d. S")</f>
        <v>A. E. M. d. S</v>
      </c>
      <c r="E29" s="39" t="str">
        <f>IFERROR(__xludf.dummyfunction("""COMPUTED_VALUE"""),"27/07/2024")</f>
        <v>27/07/2024</v>
      </c>
      <c r="F29" s="15" t="str">
        <f>IFERROR(__xludf.dummyfunction("""COMPUTED_VALUE"""),"003******46")</f>
        <v>003******46</v>
      </c>
      <c r="G29" s="15" t="str">
        <f>IFERROR(__xludf.dummyfunction("""COMPUTED_VALUE"""),"INFANTIL 1")</f>
        <v>INFANTIL 1</v>
      </c>
      <c r="H29" s="40" t="str">
        <f>IFERROR(__xludf.dummyfunction("""COMPUTED_VALUE"""),"CEMEI DR. PAULO MENDES")</f>
        <v>CEMEI DR. PAULO MENDES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 spans="1:25">
      <c r="A30" s="36" t="str">
        <f t="shared" si="7"/>
        <v>REGIONAL 7</v>
      </c>
      <c r="B30" s="37" t="str">
        <f>IFERROR(__xludf.dummyfunction("""COMPUTED_VALUE"""),"23/06/2026 09:32:02")</f>
        <v>23/06/2026 09:32:02</v>
      </c>
      <c r="C30" s="38" t="str">
        <f>IFERROR(__xludf.dummyfunction("""COMPUTED_VALUE"""),"5")</f>
        <v>5</v>
      </c>
      <c r="D30" s="15" t="str">
        <f>IFERROR(__xludf.dummyfunction("""COMPUTED_VALUE"""),"M. L. T. D. M")</f>
        <v>M. L. T. D. M</v>
      </c>
      <c r="E30" s="39" t="str">
        <f>IFERROR(__xludf.dummyfunction("""COMPUTED_VALUE"""),"25/11/2024")</f>
        <v>25/11/2024</v>
      </c>
      <c r="F30" s="15" t="str">
        <f>IFERROR(__xludf.dummyfunction("""COMPUTED_VALUE"""),"004******93")</f>
        <v>004******93</v>
      </c>
      <c r="G30" s="15" t="str">
        <f>IFERROR(__xludf.dummyfunction("""COMPUTED_VALUE"""),"INFANTIL 1")</f>
        <v>INFANTIL 1</v>
      </c>
      <c r="H30" s="40" t="str">
        <f>IFERROR(__xludf.dummyfunction("""COMPUTED_VALUE"""),"CEMEI DR. PAULO MENDES")</f>
        <v>CEMEI DR. PAULO MENDES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5.75" customHeight="1" spans="1:25">
      <c r="A31" s="36" t="str">
        <f t="shared" si="7"/>
        <v>REGIONAL 7</v>
      </c>
      <c r="B31" s="37" t="str">
        <f>IFERROR(__xludf.dummyfunction("""COMPUTED_VALUE"""),"23/06/2026 09:36:48")</f>
        <v>23/06/2026 09:36:48</v>
      </c>
      <c r="C31" s="38" t="str">
        <f>IFERROR(__xludf.dummyfunction("""COMPUTED_VALUE"""),"6")</f>
        <v>6</v>
      </c>
      <c r="D31" s="15" t="str">
        <f>IFERROR(__xludf.dummyfunction("""COMPUTED_VALUE"""),"F. L. T. D. M")</f>
        <v>F. L. T. D. M</v>
      </c>
      <c r="E31" s="39" t="str">
        <f>IFERROR(__xludf.dummyfunction("""COMPUTED_VALUE"""),"25/11/2024")</f>
        <v>25/11/2024</v>
      </c>
      <c r="F31" s="15" t="str">
        <f>IFERROR(__xludf.dummyfunction("""COMPUTED_VALUE"""),"004******05")</f>
        <v>004******05</v>
      </c>
      <c r="G31" s="15" t="str">
        <f>IFERROR(__xludf.dummyfunction("""COMPUTED_VALUE"""),"INFANTIL 1")</f>
        <v>INFANTIL 1</v>
      </c>
      <c r="H31" s="40" t="str">
        <f>IFERROR(__xludf.dummyfunction("""COMPUTED_VALUE"""),"CEMEI DR. PAULO MENDES")</f>
        <v>CEMEI DR. PAULO MENDES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5.75" customHeight="1" spans="1:25">
      <c r="A32" s="36" t="str">
        <f t="shared" si="7"/>
        <v>REGIONAL 7</v>
      </c>
      <c r="B32" s="37" t="str">
        <f>IFERROR(__xludf.dummyfunction("""COMPUTED_VALUE"""),"23/07/2026 04:45:19")</f>
        <v>23/07/2026 04:45:19</v>
      </c>
      <c r="C32" s="38" t="str">
        <f>IFERROR(__xludf.dummyfunction("""COMPUTED_VALUE"""),"7")</f>
        <v>7</v>
      </c>
      <c r="D32" s="15" t="str">
        <f>IFERROR(__xludf.dummyfunction("""COMPUTED_VALUE"""),"R. O. S")</f>
        <v>R. O. S</v>
      </c>
      <c r="E32" s="39" t="str">
        <f>IFERROR(__xludf.dummyfunction("""COMPUTED_VALUE"""),"17/11/2025")</f>
        <v>17/11/2025</v>
      </c>
      <c r="F32" s="15" t="str">
        <f>IFERROR(__xludf.dummyfunction("""COMPUTED_VALUE"""),"024******30")</f>
        <v>024******30</v>
      </c>
      <c r="G32" s="15" t="str">
        <f>IFERROR(__xludf.dummyfunction("""COMPUTED_VALUE"""),"INFANTIL 1")</f>
        <v>INFANTIL 1</v>
      </c>
      <c r="H32" s="40" t="str">
        <f>IFERROR(__xludf.dummyfunction("""COMPUTED_VALUE"""),"CEMEI DR. PAULO MENDES")</f>
        <v>CEMEI DR. PAULO MENDES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5.75" customHeight="1" spans="1:25">
      <c r="A33" s="36" t="str">
        <f t="shared" si="7"/>
        <v>REGIONAL 7</v>
      </c>
      <c r="B33" s="37" t="str">
        <f>IFERROR(__xludf.dummyfunction("""COMPUTED_VALUE"""),"02/09/2026 11:53:05")</f>
        <v>02/09/2026 11:53:05</v>
      </c>
      <c r="C33" s="38" t="str">
        <f>IFERROR(__xludf.dummyfunction("""COMPUTED_VALUE"""),"8")</f>
        <v>8</v>
      </c>
      <c r="D33" s="15" t="str">
        <f>IFERROR(__xludf.dummyfunction("""COMPUTED_VALUE"""),"E. M. d. S")</f>
        <v>E. M. d. S</v>
      </c>
      <c r="E33" s="39" t="str">
        <f>IFERROR(__xludf.dummyfunction("""COMPUTED_VALUE"""),"06/07/2025")</f>
        <v>06/07/2025</v>
      </c>
      <c r="F33" s="15" t="str">
        <f>IFERROR(__xludf.dummyfunction("""COMPUTED_VALUE"""),"006******64")</f>
        <v>006******64</v>
      </c>
      <c r="G33" s="15" t="str">
        <f>IFERROR(__xludf.dummyfunction("""COMPUTED_VALUE"""),"INFANTIL 1")</f>
        <v>INFANTIL 1</v>
      </c>
      <c r="H33" s="40" t="str">
        <f>IFERROR(__xludf.dummyfunction("""COMPUTED_VALUE"""),"CEMEI DR. PAULO MENDES")</f>
        <v>CEMEI DR. PAULO MENDES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5.75" customHeight="1" spans="1:25">
      <c r="A34" s="36" t="str">
        <f t="shared" si="7"/>
        <v>REGIONAL 7</v>
      </c>
      <c r="B34" s="37" t="str">
        <f>IFERROR(__xludf.dummyfunction("""COMPUTED_VALUE"""),"10/06/2026 11:22:14")</f>
        <v>10/06/2026 11:22:14</v>
      </c>
      <c r="C34" s="38" t="str">
        <f>IFERROR(__xludf.dummyfunction("""COMPUTED_VALUE"""),"1")</f>
        <v>1</v>
      </c>
      <c r="D34" s="15" t="str">
        <f>IFERROR(__xludf.dummyfunction("""COMPUTED_VALUE"""),"B. G. S. D. S")</f>
        <v>B. G. S. D. S</v>
      </c>
      <c r="E34" s="39" t="str">
        <f>IFERROR(__xludf.dummyfunction("""COMPUTED_VALUE"""),"10/11/2023")</f>
        <v>10/11/2023</v>
      </c>
      <c r="F34" s="15" t="str">
        <f>IFERROR(__xludf.dummyfunction("""COMPUTED_VALUE"""),"001******18")</f>
        <v>001******18</v>
      </c>
      <c r="G34" s="15" t="str">
        <f>IFERROR(__xludf.dummyfunction("""COMPUTED_VALUE"""),"INFANTIL 2")</f>
        <v>INFANTIL 2</v>
      </c>
      <c r="H34" s="40" t="str">
        <f>IFERROR(__xludf.dummyfunction("""COMPUTED_VALUE"""),"CEMEI DR. PAULO MENDES")</f>
        <v>CEMEI DR. PAULO MENDES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5.75" customHeight="1" spans="1:25">
      <c r="A35" s="36" t="str">
        <f t="shared" si="7"/>
        <v>REGIONAL 7</v>
      </c>
      <c r="B35" s="37" t="str">
        <f>IFERROR(__xludf.dummyfunction("""COMPUTED_VALUE"""),"16/09/2026 22:07:06")</f>
        <v>16/09/2026 22:07:06</v>
      </c>
      <c r="C35" s="38" t="str">
        <f>IFERROR(__xludf.dummyfunction("""COMPUTED_VALUE"""),"2")</f>
        <v>2</v>
      </c>
      <c r="D35" s="15" t="str">
        <f>IFERROR(__xludf.dummyfunction("""COMPUTED_VALUE"""),"T. A. B. C")</f>
        <v>T. A. B. C</v>
      </c>
      <c r="E35" s="39" t="str">
        <f>IFERROR(__xludf.dummyfunction("""COMPUTED_VALUE"""),"20/09/2023")</f>
        <v>20/09/2023</v>
      </c>
      <c r="F35" s="15" t="str">
        <f>IFERROR(__xludf.dummyfunction("""COMPUTED_VALUE"""),"000******60")</f>
        <v>000******60</v>
      </c>
      <c r="G35" s="15" t="str">
        <f>IFERROR(__xludf.dummyfunction("""COMPUTED_VALUE"""),"INFANTIL 2")</f>
        <v>INFANTIL 2</v>
      </c>
      <c r="H35" s="40" t="str">
        <f>IFERROR(__xludf.dummyfunction("""COMPUTED_VALUE"""),"CEMEI DR. PAULO MENDES")</f>
        <v>CEMEI DR. PAULO MENDES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5.75" customHeight="1" spans="1:25">
      <c r="A36" s="36" t="str">
        <f t="shared" si="7"/>
        <v>REGIONAL 7</v>
      </c>
      <c r="B36" s="37" t="str">
        <f>IFERROR(__xludf.dummyfunction("""COMPUTED_VALUE"""),"18/05/2026 09:15:19")</f>
        <v>18/05/2026 09:15:19</v>
      </c>
      <c r="C36" s="38" t="str">
        <f>IFERROR(__xludf.dummyfunction("""COMPUTED_VALUE"""),"1")</f>
        <v>1</v>
      </c>
      <c r="D36" s="15" t="str">
        <f>IFERROR(__xludf.dummyfunction("""COMPUTED_VALUE"""),"H. V. S. D")</f>
        <v>H. V. S. D</v>
      </c>
      <c r="E36" s="39" t="str">
        <f>IFERROR(__xludf.dummyfunction("""COMPUTED_VALUE"""),"11/01/2023")</f>
        <v>11/01/2023</v>
      </c>
      <c r="F36" s="15" t="str">
        <f>IFERROR(__xludf.dummyfunction("""COMPUTED_VALUE"""),"184******20")</f>
        <v>184******20</v>
      </c>
      <c r="G36" s="15" t="str">
        <f>IFERROR(__xludf.dummyfunction("""COMPUTED_VALUE"""),"INFANTIL 3")</f>
        <v>INFANTIL 3</v>
      </c>
      <c r="H36" s="40" t="str">
        <f>IFERROR(__xludf.dummyfunction("""COMPUTED_VALUE"""),"CEMEI DR. PAULO MENDES")</f>
        <v>CEMEI DR. PAULO MENDES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5.75" customHeight="1" spans="1:25">
      <c r="A37" s="36" t="str">
        <f t="shared" si="7"/>
        <v>REGIONAL 7</v>
      </c>
      <c r="B37" s="15" t="str">
        <f>IFERROR(__xludf.dummyfunction("""COMPUTED_VALUE"""),"06/02/2026 09:17:41")</f>
        <v>06/02/2026 09:17:41</v>
      </c>
      <c r="C37" s="38" t="str">
        <f>IFERROR(__xludf.dummyfunction("""COMPUTED_VALUE"""),"1")</f>
        <v>1</v>
      </c>
      <c r="D37" s="15" t="str">
        <f>IFERROR(__xludf.dummyfunction("""COMPUTED_VALUE"""),"J. V. C. C")</f>
        <v>J. V. C. C</v>
      </c>
      <c r="E37" s="15" t="str">
        <f>IFERROR(__xludf.dummyfunction("""COMPUTED_VALUE"""),"26/03/2023")</f>
        <v>26/03/2023</v>
      </c>
      <c r="F37" s="15" t="str">
        <f>IFERROR(__xludf.dummyfunction("""COMPUTED_VALUE"""),"184******42")</f>
        <v>184******42</v>
      </c>
      <c r="G37" s="15" t="str">
        <f>IFERROR(__xludf.dummyfunction("""COMPUTED_VALUE"""),"INFANTIL 3")</f>
        <v>INFANTIL 3</v>
      </c>
      <c r="H37" s="40" t="str">
        <f>IFERROR(__xludf.dummyfunction("""COMPUTED_VALUE"""),"CEMEI ELIEL EUSTAQUIO DA SILVA")</f>
        <v>CEMEI ELIEL EUSTAQUIO DA SILVA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5.75" customHeight="1" spans="1:25">
      <c r="A38" s="36" t="str">
        <f t="shared" si="7"/>
        <v>REGIONAL 7</v>
      </c>
      <c r="B38" s="15" t="str">
        <f>IFERROR(__xludf.dummyfunction("""COMPUTED_VALUE"""),"04/05/2026 08:16:17")</f>
        <v>04/05/2026 08:16:17</v>
      </c>
      <c r="C38" s="38" t="str">
        <f>IFERROR(__xludf.dummyfunction("""COMPUTED_VALUE"""),"2")</f>
        <v>2</v>
      </c>
      <c r="D38" s="15" t="str">
        <f>IFERROR(__xludf.dummyfunction("""COMPUTED_VALUE"""),"A. A. D. P. S")</f>
        <v>A. A. D. P. S</v>
      </c>
      <c r="E38" s="15" t="str">
        <f>IFERROR(__xludf.dummyfunction("""COMPUTED_VALUE"""),"24/12/2022")</f>
        <v>24/12/2022</v>
      </c>
      <c r="F38" s="15" t="str">
        <f>IFERROR(__xludf.dummyfunction("""COMPUTED_VALUE"""),"183******09")</f>
        <v>183******09</v>
      </c>
      <c r="G38" s="15" t="str">
        <f>IFERROR(__xludf.dummyfunction("""COMPUTED_VALUE"""),"INFANTIL 3")</f>
        <v>INFANTIL 3</v>
      </c>
      <c r="H38" s="40" t="str">
        <f>IFERROR(__xludf.dummyfunction("""COMPUTED_VALUE"""),"CEMEI ELIEL EUSTAQUIO DA SILVA")</f>
        <v>CEMEI ELIEL EUSTAQUIO DA SILVA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5.75" customHeight="1" spans="1:25">
      <c r="A39" s="36" t="str">
        <f t="shared" si="7"/>
        <v>REGIONAL 7</v>
      </c>
      <c r="B39" s="15" t="str">
        <f>IFERROR(__xludf.dummyfunction("""COMPUTED_VALUE"""),"22/06/2026 14:09:23")</f>
        <v>22/06/2026 14:09:23</v>
      </c>
      <c r="C39" s="38" t="str">
        <f>IFERROR(__xludf.dummyfunction("""COMPUTED_VALUE"""),"3")</f>
        <v>3</v>
      </c>
      <c r="D39" s="15" t="str">
        <f>IFERROR(__xludf.dummyfunction("""COMPUTED_VALUE"""),"I. V. d. S")</f>
        <v>I. V. d. S</v>
      </c>
      <c r="E39" s="15" t="str">
        <f>IFERROR(__xludf.dummyfunction("""COMPUTED_VALUE"""),"07/04/2022")</f>
        <v>07/04/2022</v>
      </c>
      <c r="F39" s="15" t="str">
        <f>IFERROR(__xludf.dummyfunction("""COMPUTED_VALUE"""),"181******03")</f>
        <v>181******03</v>
      </c>
      <c r="G39" s="15" t="str">
        <f>IFERROR(__xludf.dummyfunction("""COMPUTED_VALUE"""),"INFANTIL 3")</f>
        <v>INFANTIL 3</v>
      </c>
      <c r="H39" s="40" t="str">
        <f>IFERROR(__xludf.dummyfunction("""COMPUTED_VALUE"""),"CEMEI ELIEL EUSTAQUIO DA SILVA")</f>
        <v>CEMEI ELIEL EUSTAQUIO DA SILVA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5.75" customHeight="1" spans="1:25">
      <c r="A40" s="36" t="str">
        <f t="shared" si="7"/>
        <v>REGIONAL 7</v>
      </c>
      <c r="B40" s="15" t="str">
        <f>IFERROR(__xludf.dummyfunction("""COMPUTED_VALUE"""),"10/09/2026 09:46:29")</f>
        <v>10/09/2026 09:46:29</v>
      </c>
      <c r="C40" s="38" t="str">
        <f>IFERROR(__xludf.dummyfunction("""COMPUTED_VALUE"""),"4")</f>
        <v>4</v>
      </c>
      <c r="D40" s="15" t="str">
        <f>IFERROR(__xludf.dummyfunction("""COMPUTED_VALUE"""),"S. d. S. P. d. S")</f>
        <v>S. d. S. P. d. S</v>
      </c>
      <c r="E40" s="15" t="str">
        <f>IFERROR(__xludf.dummyfunction("""COMPUTED_VALUE"""),"08/10/2022")</f>
        <v>08/10/2022</v>
      </c>
      <c r="F40" s="15" t="str">
        <f>IFERROR(__xludf.dummyfunction("""COMPUTED_VALUE"""),"183******61")</f>
        <v>183******61</v>
      </c>
      <c r="G40" s="15" t="str">
        <f>IFERROR(__xludf.dummyfunction("""COMPUTED_VALUE"""),"INFANTIL 3")</f>
        <v>INFANTIL 3</v>
      </c>
      <c r="H40" s="40" t="str">
        <f>IFERROR(__xludf.dummyfunction("""COMPUTED_VALUE"""),"CEMEI ELIEL EUSTAQUIO DA SILVA")</f>
        <v>CEMEI ELIEL EUSTAQUIO DA SILVA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5.75" customHeight="1" spans="1:25">
      <c r="A41" s="36" t="str">
        <f t="shared" si="7"/>
        <v>REGIONAL 7</v>
      </c>
      <c r="B41" s="15" t="str">
        <f>IFERROR(__xludf.dummyfunction("""COMPUTED_VALUE"""),"04/02/2026 08:52:54")</f>
        <v>04/02/2026 08:52:54</v>
      </c>
      <c r="C41" s="38" t="str">
        <f>IFERROR(__xludf.dummyfunction("""COMPUTED_VALUE"""),"1")</f>
        <v>1</v>
      </c>
      <c r="D41" s="15" t="str">
        <f>IFERROR(__xludf.dummyfunction("""COMPUTED_VALUE"""),"R. J. D. S")</f>
        <v>R. J. D. S</v>
      </c>
      <c r="E41" s="15" t="str">
        <f>IFERROR(__xludf.dummyfunction("""COMPUTED_VALUE"""),"18/04/2024")</f>
        <v>18/04/2024</v>
      </c>
      <c r="F41" s="15" t="str">
        <f>IFERROR(__xludf.dummyfunction("""COMPUTED_VALUE"""),"003******54")</f>
        <v>003******54</v>
      </c>
      <c r="G41" s="15" t="str">
        <f>IFERROR(__xludf.dummyfunction("""COMPUTED_VALUE"""),"INFANTIL 1")</f>
        <v>INFANTIL 1</v>
      </c>
      <c r="H41" s="40" t="str">
        <f>IFERROR(__xludf.dummyfunction("""COMPUTED_VALUE"""),"CEMEI PROFESSORA CIBELE DE ANDRADE MENDES DE AZEVEDO")</f>
        <v>CEMEI PROFESSORA CIBELE DE ANDRADE MENDES DE AZEVEDO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5.75" customHeight="1" spans="1:25">
      <c r="A42" s="36" t="str">
        <f t="shared" si="7"/>
        <v>REGIONAL 7</v>
      </c>
      <c r="B42" s="15" t="str">
        <f>IFERROR(__xludf.dummyfunction("""COMPUTED_VALUE"""),"05/02/2026 12:22:17")</f>
        <v>05/02/2026 12:22:17</v>
      </c>
      <c r="C42" s="38" t="str">
        <f>IFERROR(__xludf.dummyfunction("""COMPUTED_VALUE"""),"2")</f>
        <v>2</v>
      </c>
      <c r="D42" s="15" t="str">
        <f>IFERROR(__xludf.dummyfunction("""COMPUTED_VALUE"""),"E. J. N. D. S")</f>
        <v>E. J. N. D. S</v>
      </c>
      <c r="E42" s="15" t="str">
        <f>IFERROR(__xludf.dummyfunction("""COMPUTED_VALUE"""),"12/08/2024")</f>
        <v>12/08/2024</v>
      </c>
      <c r="F42" s="15" t="str">
        <f>IFERROR(__xludf.dummyfunction("""COMPUTED_VALUE"""),"003******75")</f>
        <v>003******75</v>
      </c>
      <c r="G42" s="15" t="str">
        <f>IFERROR(__xludf.dummyfunction("""COMPUTED_VALUE"""),"INFANTIL 1")</f>
        <v>INFANTIL 1</v>
      </c>
      <c r="H42" s="40" t="str">
        <f>IFERROR(__xludf.dummyfunction("""COMPUTED_VALUE"""),"CEMEI PROFESSORA CIBELE DE ANDRADE MENDES DE AZEVEDO")</f>
        <v>CEMEI PROFESSORA CIBELE DE ANDRADE MENDES DE AZEVEDO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5.75" customHeight="1" spans="1:25">
      <c r="A43" s="36" t="str">
        <f t="shared" si="7"/>
        <v>REGIONAL 7</v>
      </c>
      <c r="B43" s="15" t="str">
        <f>IFERROR(__xludf.dummyfunction("""COMPUTED_VALUE"""),"05/02/2026 13:29:32")</f>
        <v>05/02/2026 13:29:32</v>
      </c>
      <c r="C43" s="38" t="str">
        <f>IFERROR(__xludf.dummyfunction("""COMPUTED_VALUE"""),"3")</f>
        <v>3</v>
      </c>
      <c r="D43" s="15" t="str">
        <f>IFERROR(__xludf.dummyfunction("""COMPUTED_VALUE"""),"O. L. D. A")</f>
        <v>O. L. D. A</v>
      </c>
      <c r="E43" s="15" t="str">
        <f>IFERROR(__xludf.dummyfunction("""COMPUTED_VALUE"""),"16/05/2024")</f>
        <v>16/05/2024</v>
      </c>
      <c r="F43" s="15" t="str">
        <f>IFERROR(__xludf.dummyfunction("""COMPUTED_VALUE"""),"002******90")</f>
        <v>002******90</v>
      </c>
      <c r="G43" s="15" t="str">
        <f>IFERROR(__xludf.dummyfunction("""COMPUTED_VALUE"""),"INFANTIL 1")</f>
        <v>INFANTIL 1</v>
      </c>
      <c r="H43" s="40" t="str">
        <f>IFERROR(__xludf.dummyfunction("""COMPUTED_VALUE"""),"CEMEI PROFESSORA CIBELE DE ANDRADE MENDES DE AZEVEDO")</f>
        <v>CEMEI PROFESSORA CIBELE DE ANDRADE MENDES DE AZEVEDO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5.75" customHeight="1" spans="1:25">
      <c r="A44" s="36" t="str">
        <f t="shared" si="7"/>
        <v>REGIONAL 7</v>
      </c>
      <c r="B44" s="15" t="str">
        <f>IFERROR(__xludf.dummyfunction("""COMPUTED_VALUE"""),"05/02/2026 15:38:24")</f>
        <v>05/02/2026 15:38:24</v>
      </c>
      <c r="C44" s="38" t="str">
        <f>IFERROR(__xludf.dummyfunction("""COMPUTED_VALUE"""),"4")</f>
        <v>4</v>
      </c>
      <c r="D44" s="15" t="str">
        <f>IFERROR(__xludf.dummyfunction("""COMPUTED_VALUE"""),"T. E. R. D. B")</f>
        <v>T. E. R. D. B</v>
      </c>
      <c r="E44" s="15" t="str">
        <f>IFERROR(__xludf.dummyfunction("""COMPUTED_VALUE"""),"19/05/2024")</f>
        <v>19/05/2024</v>
      </c>
      <c r="F44" s="15" t="str">
        <f>IFERROR(__xludf.dummyfunction("""COMPUTED_VALUE"""),"003******75")</f>
        <v>003******75</v>
      </c>
      <c r="G44" s="15" t="str">
        <f>IFERROR(__xludf.dummyfunction("""COMPUTED_VALUE"""),"INFANTIL 1")</f>
        <v>INFANTIL 1</v>
      </c>
      <c r="H44" s="40" t="str">
        <f>IFERROR(__xludf.dummyfunction("""COMPUTED_VALUE"""),"CEMEI PROFESSORA CIBELE DE ANDRADE MENDES DE AZEVEDO")</f>
        <v>CEMEI PROFESSORA CIBELE DE ANDRADE MENDES DE AZEVEDO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5.75" customHeight="1" spans="1:25">
      <c r="A45" s="36" t="str">
        <f t="shared" si="7"/>
        <v>REGIONAL 7</v>
      </c>
      <c r="B45" s="15" t="str">
        <f>IFERROR(__xludf.dummyfunction("""COMPUTED_VALUE"""),"05/02/2026 20:35:45")</f>
        <v>05/02/2026 20:35:45</v>
      </c>
      <c r="C45" s="38" t="str">
        <f>IFERROR(__xludf.dummyfunction("""COMPUTED_VALUE"""),"5")</f>
        <v>5</v>
      </c>
      <c r="D45" s="15" t="str">
        <f>IFERROR(__xludf.dummyfunction("""COMPUTED_VALUE"""),"Y. B. D. S. A")</f>
        <v>Y. B. D. S. A</v>
      </c>
      <c r="E45" s="15" t="str">
        <f>IFERROR(__xludf.dummyfunction("""COMPUTED_VALUE"""),"14/03/2025")</f>
        <v>14/03/2025</v>
      </c>
      <c r="F45" s="15" t="str">
        <f>IFERROR(__xludf.dummyfunction("""COMPUTED_VALUE"""),"005******33")</f>
        <v>005******33</v>
      </c>
      <c r="G45" s="15" t="str">
        <f>IFERROR(__xludf.dummyfunction("""COMPUTED_VALUE"""),"INFANTIL 1")</f>
        <v>INFANTIL 1</v>
      </c>
      <c r="H45" s="15" t="str">
        <f>IFERROR(__xludf.dummyfunction("""COMPUTED_VALUE"""),"CEMEI PROFESSORA CIBELE DE ANDRADE MENDES DE AZEVEDO")</f>
        <v>CEMEI PROFESSORA CIBELE DE ANDRADE MENDES DE AZEVEDO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5.75" customHeight="1" spans="1:25">
      <c r="A46" s="36" t="str">
        <f t="shared" si="7"/>
        <v>REGIONAL 7</v>
      </c>
      <c r="B46" s="15" t="str">
        <f>IFERROR(__xludf.dummyfunction("""COMPUTED_VALUE"""),"23/02/2026 14:03:33")</f>
        <v>23/02/2026 14:03:33</v>
      </c>
      <c r="C46" s="38" t="str">
        <f>IFERROR(__xludf.dummyfunction("""COMPUTED_VALUE"""),"6")</f>
        <v>6</v>
      </c>
      <c r="D46" s="15" t="str">
        <f>IFERROR(__xludf.dummyfunction("""COMPUTED_VALUE"""),"E. S. D. S")</f>
        <v>E. S. D. S</v>
      </c>
      <c r="E46" s="15" t="str">
        <f>IFERROR(__xludf.dummyfunction("""COMPUTED_VALUE"""),"10/04/2024")</f>
        <v>10/04/2024</v>
      </c>
      <c r="F46" s="15" t="str">
        <f>IFERROR(__xludf.dummyfunction("""COMPUTED_VALUE"""),"002******63")</f>
        <v>002******63</v>
      </c>
      <c r="G46" s="15" t="str">
        <f>IFERROR(__xludf.dummyfunction("""COMPUTED_VALUE"""),"INFANTIL 1")</f>
        <v>INFANTIL 1</v>
      </c>
      <c r="H46" s="15" t="str">
        <f>IFERROR(__xludf.dummyfunction("""COMPUTED_VALUE"""),"CEMEI PROFESSORA CIBELE DE ANDRADE MENDES DE AZEVEDO")</f>
        <v>CEMEI PROFESSORA CIBELE DE ANDRADE MENDES DE AZEVEDO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5.75" customHeight="1" spans="1:25">
      <c r="A47" s="36" t="str">
        <f t="shared" si="7"/>
        <v>REGIONAL 7</v>
      </c>
      <c r="B47" s="15" t="str">
        <f>IFERROR(__xludf.dummyfunction("""COMPUTED_VALUE"""),"16/03/2026 10:09:54")</f>
        <v>16/03/2026 10:09:54</v>
      </c>
      <c r="C47" s="38" t="str">
        <f>IFERROR(__xludf.dummyfunction("""COMPUTED_VALUE"""),"7")</f>
        <v>7</v>
      </c>
      <c r="D47" s="15" t="str">
        <f>IFERROR(__xludf.dummyfunction("""COMPUTED_VALUE"""),"H. M. C. M. T")</f>
        <v>H. M. C. M. T</v>
      </c>
      <c r="E47" s="15" t="str">
        <f>IFERROR(__xludf.dummyfunction("""COMPUTED_VALUE"""),"15/04/2024")</f>
        <v>15/04/2024</v>
      </c>
      <c r="F47" s="15" t="str">
        <f>IFERROR(__xludf.dummyfunction("""COMPUTED_VALUE"""),"002******57")</f>
        <v>002******57</v>
      </c>
      <c r="G47" s="15" t="str">
        <f>IFERROR(__xludf.dummyfunction("""COMPUTED_VALUE"""),"INFANTIL 1")</f>
        <v>INFANTIL 1</v>
      </c>
      <c r="H47" s="15" t="str">
        <f>IFERROR(__xludf.dummyfunction("""COMPUTED_VALUE"""),"CEMEI PROFESSORA CIBELE DE ANDRADE MENDES DE AZEVEDO")</f>
        <v>CEMEI PROFESSORA CIBELE DE ANDRADE MENDES DE AZEVEDO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5.75" customHeight="1" spans="1:25">
      <c r="A48" s="36" t="str">
        <f t="shared" si="7"/>
        <v>REGIONAL 7</v>
      </c>
      <c r="B48" s="15" t="str">
        <f>IFERROR(__xludf.dummyfunction("""COMPUTED_VALUE"""),"18/03/2026 12:28:10")</f>
        <v>18/03/2026 12:28:10</v>
      </c>
      <c r="C48" s="38" t="str">
        <f>IFERROR(__xludf.dummyfunction("""COMPUTED_VALUE"""),"8")</f>
        <v>8</v>
      </c>
      <c r="D48" s="15" t="str">
        <f>IFERROR(__xludf.dummyfunction("""COMPUTED_VALUE"""),"L. E. S. D. S")</f>
        <v>L. E. S. D. S</v>
      </c>
      <c r="E48" s="15" t="str">
        <f>IFERROR(__xludf.dummyfunction("""COMPUTED_VALUE"""),"19/01/2026")</f>
        <v>19/01/2026</v>
      </c>
      <c r="F48" s="15" t="str">
        <f>IFERROR(__xludf.dummyfunction("""COMPUTED_VALUE"""),"045******34")</f>
        <v>045******34</v>
      </c>
      <c r="G48" s="15" t="str">
        <f>IFERROR(__xludf.dummyfunction("""COMPUTED_VALUE"""),"INFANTIL 1")</f>
        <v>INFANTIL 1</v>
      </c>
      <c r="H48" s="15" t="str">
        <f>IFERROR(__xludf.dummyfunction("""COMPUTED_VALUE"""),"CEMEI PROFESSORA CIBELE DE ANDRADE MENDES DE AZEVEDO")</f>
        <v>CEMEI PROFESSORA CIBELE DE ANDRADE MENDES DE AZEVEDO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5.75" customHeight="1" spans="1:25">
      <c r="A49" s="36" t="str">
        <f t="shared" si="7"/>
        <v>REGIONAL 7</v>
      </c>
      <c r="B49" s="15" t="str">
        <f>IFERROR(__xludf.dummyfunction("""COMPUTED_VALUE"""),"26/03/2026 18:22:32")</f>
        <v>26/03/2026 18:22:32</v>
      </c>
      <c r="C49" s="38" t="str">
        <f>IFERROR(__xludf.dummyfunction("""COMPUTED_VALUE"""),"9")</f>
        <v>9</v>
      </c>
      <c r="D49" s="15" t="str">
        <f>IFERROR(__xludf.dummyfunction("""COMPUTED_VALUE"""),"A. M. A. D. B")</f>
        <v>A. M. A. D. B</v>
      </c>
      <c r="E49" s="15" t="str">
        <f>IFERROR(__xludf.dummyfunction("""COMPUTED_VALUE"""),"20/11/2024")</f>
        <v>20/11/2024</v>
      </c>
      <c r="F49" s="15" t="str">
        <f>IFERROR(__xludf.dummyfunction("""COMPUTED_VALUE"""),"004******56")</f>
        <v>004******56</v>
      </c>
      <c r="G49" s="15" t="str">
        <f>IFERROR(__xludf.dummyfunction("""COMPUTED_VALUE"""),"INFANTIL 1")</f>
        <v>INFANTIL 1</v>
      </c>
      <c r="H49" s="15" t="str">
        <f>IFERROR(__xludf.dummyfunction("""COMPUTED_VALUE"""),"CEMEI PROFESSORA CIBELE DE ANDRADE MENDES DE AZEVEDO")</f>
        <v>CEMEI PROFESSORA CIBELE DE ANDRADE MENDES DE AZEVEDO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5.75" customHeight="1" spans="1:25">
      <c r="A50" s="36" t="str">
        <f t="shared" si="7"/>
        <v>REGIONAL 7</v>
      </c>
      <c r="B50" s="15" t="str">
        <f>IFERROR(__xludf.dummyfunction("""COMPUTED_VALUE"""),"29/04/2026 15:44:18")</f>
        <v>29/04/2026 15:44:18</v>
      </c>
      <c r="C50" s="38" t="str">
        <f>IFERROR(__xludf.dummyfunction("""COMPUTED_VALUE"""),"10")</f>
        <v>10</v>
      </c>
      <c r="D50" s="15" t="str">
        <f>IFERROR(__xludf.dummyfunction("""COMPUTED_VALUE"""),"A. S. C. D. L")</f>
        <v>A. S. C. D. L</v>
      </c>
      <c r="E50" s="15" t="str">
        <f>IFERROR(__xludf.dummyfunction("""COMPUTED_VALUE"""),"06/05/2025")</f>
        <v>06/05/2025</v>
      </c>
      <c r="F50" s="15" t="str">
        <f>IFERROR(__xludf.dummyfunction("""COMPUTED_VALUE"""),"006******16")</f>
        <v>006******16</v>
      </c>
      <c r="G50" s="15" t="str">
        <f>IFERROR(__xludf.dummyfunction("""COMPUTED_VALUE"""),"INFANTIL 1")</f>
        <v>INFANTIL 1</v>
      </c>
      <c r="H50" s="15" t="str">
        <f>IFERROR(__xludf.dummyfunction("""COMPUTED_VALUE"""),"CEMEI PROFESSORA CIBELE DE ANDRADE MENDES DE AZEVEDO")</f>
        <v>CEMEI PROFESSORA CIBELE DE ANDRADE MENDES DE AZEVEDO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5.75" customHeight="1" spans="1:25">
      <c r="A51" s="36" t="str">
        <f t="shared" si="7"/>
        <v>REGIONAL 7</v>
      </c>
      <c r="B51" s="15" t="str">
        <f>IFERROR(__xludf.dummyfunction("""COMPUTED_VALUE"""),"19/05/2026 10:34:49")</f>
        <v>19/05/2026 10:34:49</v>
      </c>
      <c r="C51" s="38" t="str">
        <f>IFERROR(__xludf.dummyfunction("""COMPUTED_VALUE"""),"11")</f>
        <v>11</v>
      </c>
      <c r="D51" s="15" t="str">
        <f>IFERROR(__xludf.dummyfunction("""COMPUTED_VALUE"""),"H. C. C")</f>
        <v>H. C. C</v>
      </c>
      <c r="E51" s="15" t="str">
        <f>IFERROR(__xludf.dummyfunction("""COMPUTED_VALUE"""),"25/10/2025")</f>
        <v>25/10/2025</v>
      </c>
      <c r="F51" s="15" t="str">
        <f>IFERROR(__xludf.dummyfunction("""COMPUTED_VALUE"""),"017******72")</f>
        <v>017******72</v>
      </c>
      <c r="G51" s="15" t="str">
        <f>IFERROR(__xludf.dummyfunction("""COMPUTED_VALUE"""),"INFANTIL 1")</f>
        <v>INFANTIL 1</v>
      </c>
      <c r="H51" s="15" t="str">
        <f>IFERROR(__xludf.dummyfunction("""COMPUTED_VALUE"""),"CEMEI PROFESSORA CIBELE DE ANDRADE MENDES DE AZEVEDO")</f>
        <v>CEMEI PROFESSORA CIBELE DE ANDRADE MENDES DE AZEVEDO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5.75" customHeight="1" spans="1:25">
      <c r="A52" s="36" t="str">
        <f t="shared" si="7"/>
        <v>REGIONAL 7</v>
      </c>
      <c r="B52" s="15" t="str">
        <f>IFERROR(__xludf.dummyfunction("""COMPUTED_VALUE"""),"25/05/2026 18:01:52")</f>
        <v>25/05/2026 18:01:52</v>
      </c>
      <c r="C52" s="38" t="str">
        <f>IFERROR(__xludf.dummyfunction("""COMPUTED_VALUE"""),"12")</f>
        <v>12</v>
      </c>
      <c r="D52" s="15" t="str">
        <f>IFERROR(__xludf.dummyfunction("""COMPUTED_VALUE"""),"N. U. A. d. S")</f>
        <v>N. U. A. d. S</v>
      </c>
      <c r="E52" s="15" t="str">
        <f>IFERROR(__xludf.dummyfunction("""COMPUTED_VALUE"""),"15/04/2025")</f>
        <v>15/04/2025</v>
      </c>
      <c r="F52" s="15" t="str">
        <f>IFERROR(__xludf.dummyfunction("""COMPUTED_VALUE"""),"005******36")</f>
        <v>005******36</v>
      </c>
      <c r="G52" s="15" t="str">
        <f>IFERROR(__xludf.dummyfunction("""COMPUTED_VALUE"""),"INFANTIL 1")</f>
        <v>INFANTIL 1</v>
      </c>
      <c r="H52" s="15" t="str">
        <f>IFERROR(__xludf.dummyfunction("""COMPUTED_VALUE"""),"CEMEI PROFESSORA CIBELE DE ANDRADE MENDES DE AZEVEDO")</f>
        <v>CEMEI PROFESSORA CIBELE DE ANDRADE MENDES DE AZEVEDO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5.75" customHeight="1" spans="1:25">
      <c r="A53" s="36" t="str">
        <f t="shared" si="7"/>
        <v>REGIONAL 7</v>
      </c>
      <c r="B53" s="15" t="str">
        <f>IFERROR(__xludf.dummyfunction("""COMPUTED_VALUE"""),"10/07/2026 10:10:23")</f>
        <v>10/07/2026 10:10:23</v>
      </c>
      <c r="C53" s="38" t="str">
        <f>IFERROR(__xludf.dummyfunction("""COMPUTED_VALUE"""),"13")</f>
        <v>13</v>
      </c>
      <c r="D53" s="15" t="str">
        <f>IFERROR(__xludf.dummyfunction("""COMPUTED_VALUE"""),"C. r. d. s. F")</f>
        <v>C. r. d. s. F</v>
      </c>
      <c r="E53" s="15" t="str">
        <f>IFERROR(__xludf.dummyfunction("""COMPUTED_VALUE"""),"31/08/2024")</f>
        <v>31/08/2024</v>
      </c>
      <c r="F53" s="15" t="str">
        <f>IFERROR(__xludf.dummyfunction("""COMPUTED_VALUE"""),"004******57")</f>
        <v>004******57</v>
      </c>
      <c r="G53" s="15" t="str">
        <f>IFERROR(__xludf.dummyfunction("""COMPUTED_VALUE"""),"INFANTIL 1")</f>
        <v>INFANTIL 1</v>
      </c>
      <c r="H53" s="15" t="str">
        <f>IFERROR(__xludf.dummyfunction("""COMPUTED_VALUE"""),"CEMEI PROFESSORA CIBELE DE ANDRADE MENDES DE AZEVEDO")</f>
        <v>CEMEI PROFESSORA CIBELE DE ANDRADE MENDES DE AZEVEDO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5.75" customHeight="1" spans="1:25">
      <c r="A54" s="36" t="str">
        <f t="shared" si="7"/>
        <v>REGIONAL 7</v>
      </c>
      <c r="B54" s="15" t="str">
        <f>IFERROR(__xludf.dummyfunction("""COMPUTED_VALUE"""),"07/08/2026 09:49:30")</f>
        <v>07/08/2026 09:49:30</v>
      </c>
      <c r="C54" s="38" t="str">
        <f>IFERROR(__xludf.dummyfunction("""COMPUTED_VALUE"""),"14")</f>
        <v>14</v>
      </c>
      <c r="D54" s="15" t="str">
        <f>IFERROR(__xludf.dummyfunction("""COMPUTED_VALUE"""),"P. M. v. d. S")</f>
        <v>P. M. v. d. S</v>
      </c>
      <c r="E54" s="15" t="str">
        <f>IFERROR(__xludf.dummyfunction("""COMPUTED_VALUE"""),"28/11/2024")</f>
        <v>28/11/2024</v>
      </c>
      <c r="F54" s="15" t="str">
        <f>IFERROR(__xludf.dummyfunction("""COMPUTED_VALUE"""),"004******35")</f>
        <v>004******35</v>
      </c>
      <c r="G54" s="15" t="str">
        <f>IFERROR(__xludf.dummyfunction("""COMPUTED_VALUE"""),"INFANTIL 1")</f>
        <v>INFANTIL 1</v>
      </c>
      <c r="H54" s="15" t="str">
        <f>IFERROR(__xludf.dummyfunction("""COMPUTED_VALUE"""),"CEMEI PROFESSORA CIBELE DE ANDRADE MENDES DE AZEVEDO")</f>
        <v>CEMEI PROFESSORA CIBELE DE ANDRADE MENDES DE AZEVEDO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5.75" customHeight="1" spans="1:25">
      <c r="A55" s="36" t="str">
        <f t="shared" si="7"/>
        <v>REGIONAL 7</v>
      </c>
      <c r="B55" s="15" t="str">
        <f>IFERROR(__xludf.dummyfunction("""COMPUTED_VALUE"""),"13/08/2026 11:11:04")</f>
        <v>13/08/2026 11:11:04</v>
      </c>
      <c r="C55" s="38" t="str">
        <f>IFERROR(__xludf.dummyfunction("""COMPUTED_VALUE"""),"15")</f>
        <v>15</v>
      </c>
      <c r="D55" s="15" t="str">
        <f>IFERROR(__xludf.dummyfunction("""COMPUTED_VALUE"""),"A. L. D. M. S")</f>
        <v>A. L. D. M. S</v>
      </c>
      <c r="E55" s="15" t="str">
        <f>IFERROR(__xludf.dummyfunction("""COMPUTED_VALUE"""),"08/12/2025")</f>
        <v>08/12/2025</v>
      </c>
      <c r="F55" s="15" t="str">
        <f>IFERROR(__xludf.dummyfunction("""COMPUTED_VALUE"""),"033******68")</f>
        <v>033******68</v>
      </c>
      <c r="G55" s="15" t="str">
        <f>IFERROR(__xludf.dummyfunction("""COMPUTED_VALUE"""),"INFANTIL 1")</f>
        <v>INFANTIL 1</v>
      </c>
      <c r="H55" s="15" t="str">
        <f>IFERROR(__xludf.dummyfunction("""COMPUTED_VALUE"""),"CEMEI PROFESSORA CIBELE DE ANDRADE MENDES DE AZEVEDO")</f>
        <v>CEMEI PROFESSORA CIBELE DE ANDRADE MENDES DE AZEVEDO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5.75" customHeight="1" spans="1:25">
      <c r="A56" s="36" t="str">
        <f t="shared" si="7"/>
        <v>REGIONAL 7</v>
      </c>
      <c r="B56" s="15" t="str">
        <f>IFERROR(__xludf.dummyfunction("""COMPUTED_VALUE"""),"25/05/2026 18:09:35")</f>
        <v>25/05/2026 18:09:35</v>
      </c>
      <c r="C56" s="38" t="str">
        <f>IFERROR(__xludf.dummyfunction("""COMPUTED_VALUE"""),"1")</f>
        <v>1</v>
      </c>
      <c r="D56" s="15" t="str">
        <f>IFERROR(__xludf.dummyfunction("""COMPUTED_VALUE"""),"A. G. A. T. d. s")</f>
        <v>A. G. A. T. d. s</v>
      </c>
      <c r="E56" s="15" t="str">
        <f>IFERROR(__xludf.dummyfunction("""COMPUTED_VALUE"""),"29/02/2024")</f>
        <v>29/02/2024</v>
      </c>
      <c r="F56" s="15" t="str">
        <f>IFERROR(__xludf.dummyfunction("""COMPUTED_VALUE"""),"002******20")</f>
        <v>002******20</v>
      </c>
      <c r="G56" s="15" t="str">
        <f>IFERROR(__xludf.dummyfunction("""COMPUTED_VALUE"""),"INFANTIL 2")</f>
        <v>INFANTIL 2</v>
      </c>
      <c r="H56" s="15" t="str">
        <f>IFERROR(__xludf.dummyfunction("""COMPUTED_VALUE"""),"CEMEI PROFESSORA CIBELE DE ANDRADE MENDES DE AZEVEDO")</f>
        <v>CEMEI PROFESSORA CIBELE DE ANDRADE MENDES DE AZEVEDO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5.75" customHeight="1" spans="1:25">
      <c r="A57" s="36" t="str">
        <f t="shared" si="7"/>
        <v>REGIONAL 7</v>
      </c>
      <c r="B57" s="15" t="str">
        <f>IFERROR(__xludf.dummyfunction("""COMPUTED_VALUE"""),"15/07/2026 09:23:39")</f>
        <v>15/07/2026 09:23:39</v>
      </c>
      <c r="C57" s="38" t="str">
        <f>IFERROR(__xludf.dummyfunction("""COMPUTED_VALUE"""),"2")</f>
        <v>2</v>
      </c>
      <c r="D57" s="15" t="str">
        <f>IFERROR(__xludf.dummyfunction("""COMPUTED_VALUE"""),"K. L. d. S")</f>
        <v>K. L. d. S</v>
      </c>
      <c r="E57" s="15" t="str">
        <f>IFERROR(__xludf.dummyfunction("""COMPUTED_VALUE"""),"18/09/2023")</f>
        <v>18/09/2023</v>
      </c>
      <c r="F57" s="15" t="str">
        <f>IFERROR(__xludf.dummyfunction("""COMPUTED_VALUE"""),"186******37")</f>
        <v>186******37</v>
      </c>
      <c r="G57" s="15" t="str">
        <f>IFERROR(__xludf.dummyfunction("""COMPUTED_VALUE"""),"INFANTIL 2")</f>
        <v>INFANTIL 2</v>
      </c>
      <c r="H57" s="15" t="str">
        <f>IFERROR(__xludf.dummyfunction("""COMPUTED_VALUE"""),"CEMEI PROFESSORA CIBELE DE ANDRADE MENDES DE AZEVEDO")</f>
        <v>CEMEI PROFESSORA CIBELE DE ANDRADE MENDES DE AZEVEDO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5.75" customHeight="1" spans="1:25">
      <c r="A58" s="36" t="str">
        <f t="shared" si="7"/>
        <v>REGIONAL 7</v>
      </c>
      <c r="B58" s="15" t="str">
        <f>IFERROR(__xludf.dummyfunction("""COMPUTED_VALUE"""),"15/07/2026 09:23:44")</f>
        <v>15/07/2026 09:23:44</v>
      </c>
      <c r="C58" s="38" t="str">
        <f>IFERROR(__xludf.dummyfunction("""COMPUTED_VALUE"""),"3")</f>
        <v>3</v>
      </c>
      <c r="D58" s="15" t="str">
        <f>IFERROR(__xludf.dummyfunction("""COMPUTED_VALUE"""),"M. r. d. A")</f>
        <v>M. r. d. A</v>
      </c>
      <c r="E58" s="15" t="str">
        <f>IFERROR(__xludf.dummyfunction("""COMPUTED_VALUE"""),"19/09/2023")</f>
        <v>19/09/2023</v>
      </c>
      <c r="F58" s="15" t="str">
        <f>IFERROR(__xludf.dummyfunction("""COMPUTED_VALUE"""),"001******84")</f>
        <v>001******84</v>
      </c>
      <c r="G58" s="15" t="str">
        <f>IFERROR(__xludf.dummyfunction("""COMPUTED_VALUE"""),"INFANTIL 2")</f>
        <v>INFANTIL 2</v>
      </c>
      <c r="H58" s="15" t="str">
        <f>IFERROR(__xludf.dummyfunction("""COMPUTED_VALUE"""),"CEMEI PROFESSORA CIBELE DE ANDRADE MENDES DE AZEVEDO")</f>
        <v>CEMEI PROFESSORA CIBELE DE ANDRADE MENDES DE AZEVEDO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5.75" customHeight="1" spans="1:25">
      <c r="A59" s="36" t="str">
        <f t="shared" si="7"/>
        <v>REGIONAL 7</v>
      </c>
      <c r="B59" s="15" t="str">
        <f>IFERROR(__xludf.dummyfunction("""COMPUTED_VALUE"""),"10/08/2026 08:46:38")</f>
        <v>10/08/2026 08:46:38</v>
      </c>
      <c r="C59" s="38" t="str">
        <f>IFERROR(__xludf.dummyfunction("""COMPUTED_VALUE"""),"4")</f>
        <v>4</v>
      </c>
      <c r="D59" s="15" t="str">
        <f>IFERROR(__xludf.dummyfunction("""COMPUTED_VALUE"""),"M. I. F. G")</f>
        <v>M. I. F. G</v>
      </c>
      <c r="E59" s="15" t="str">
        <f>IFERROR(__xludf.dummyfunction("""COMPUTED_VALUE"""),"07/08/2023")</f>
        <v>07/08/2023</v>
      </c>
      <c r="F59" s="15" t="str">
        <f>IFERROR(__xludf.dummyfunction("""COMPUTED_VALUE"""),"186******57")</f>
        <v>186******57</v>
      </c>
      <c r="G59" s="15" t="str">
        <f>IFERROR(__xludf.dummyfunction("""COMPUTED_VALUE"""),"INFANTIL 2")</f>
        <v>INFANTIL 2</v>
      </c>
      <c r="H59" s="15" t="str">
        <f>IFERROR(__xludf.dummyfunction("""COMPUTED_VALUE"""),"CEMEI PROFESSORA CIBELE DE ANDRADE MENDES DE AZEVEDO")</f>
        <v>CEMEI PROFESSORA CIBELE DE ANDRADE MENDES DE AZEVEDO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5.75" customHeight="1" spans="1:25">
      <c r="A60" s="36" t="str">
        <f t="shared" si="7"/>
        <v>REGIONAL 7</v>
      </c>
      <c r="B60" s="15" t="str">
        <f>IFERROR(__xludf.dummyfunction("""COMPUTED_VALUE"""),"09/03/2026 13:36:35")</f>
        <v>09/03/2026 13:36:35</v>
      </c>
      <c r="C60" s="38" t="str">
        <f>IFERROR(__xludf.dummyfunction("""COMPUTED_VALUE"""),"1")</f>
        <v>1</v>
      </c>
      <c r="D60" s="15" t="str">
        <f>IFERROR(__xludf.dummyfunction("""COMPUTED_VALUE"""),"B. M")</f>
        <v>B. M</v>
      </c>
      <c r="E60" s="15" t="str">
        <f>IFERROR(__xludf.dummyfunction("""COMPUTED_VALUE"""),"07/02/2023")</f>
        <v>07/02/2023</v>
      </c>
      <c r="F60" s="15" t="str">
        <f>IFERROR(__xludf.dummyfunction("""COMPUTED_VALUE"""),"006******11")</f>
        <v>006******11</v>
      </c>
      <c r="G60" s="15" t="str">
        <f>IFERROR(__xludf.dummyfunction("""COMPUTED_VALUE"""),"INFANTIL 3")</f>
        <v>INFANTIL 3</v>
      </c>
      <c r="H60" s="15" t="str">
        <f>IFERROR(__xludf.dummyfunction("""COMPUTED_VALUE"""),"CEMEI PROFESSORA CIBELE DE ANDRADE MENDES DE AZEVEDO")</f>
        <v>CEMEI PROFESSORA CIBELE DE ANDRADE MENDES DE AZEVEDO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5.75" customHeight="1" spans="1:25">
      <c r="A61" s="36" t="str">
        <f t="shared" si="7"/>
        <v>REGIONAL 7</v>
      </c>
      <c r="B61" s="15" t="str">
        <f>IFERROR(__xludf.dummyfunction("""COMPUTED_VALUE"""),"23/04/2026 10:57:36")</f>
        <v>23/04/2026 10:57:36</v>
      </c>
      <c r="C61" s="38" t="str">
        <f>IFERROR(__xludf.dummyfunction("""COMPUTED_VALUE"""),"2")</f>
        <v>2</v>
      </c>
      <c r="D61" s="15" t="str">
        <f>IFERROR(__xludf.dummyfunction("""COMPUTED_VALUE"""),"A. V. S. D. S")</f>
        <v>A. V. S. D. S</v>
      </c>
      <c r="E61" s="15" t="str">
        <f>IFERROR(__xludf.dummyfunction("""COMPUTED_VALUE"""),"18/11/2022")</f>
        <v>18/11/2022</v>
      </c>
      <c r="F61" s="15" t="str">
        <f>IFERROR(__xludf.dummyfunction("""COMPUTED_VALUE"""),"183******13")</f>
        <v>183******13</v>
      </c>
      <c r="G61" s="15" t="str">
        <f>IFERROR(__xludf.dummyfunction("""COMPUTED_VALUE"""),"INFANTIL 3")</f>
        <v>INFANTIL 3</v>
      </c>
      <c r="H61" s="15" t="str">
        <f>IFERROR(__xludf.dummyfunction("""COMPUTED_VALUE"""),"CEMEI PROFESSORA CIBELE DE ANDRADE MENDES DE AZEVEDO")</f>
        <v>CEMEI PROFESSORA CIBELE DE ANDRADE MENDES DE AZEVEDO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5.75" customHeight="1" spans="1:25">
      <c r="A62" s="36" t="str">
        <f t="shared" si="7"/>
        <v>REGIONAL 7</v>
      </c>
      <c r="B62" s="15" t="str">
        <f>IFERROR(__xludf.dummyfunction("""COMPUTED_VALUE"""),"13/05/2026 10:59:27")</f>
        <v>13/05/2026 10:59:27</v>
      </c>
      <c r="C62" s="38" t="str">
        <f>IFERROR(__xludf.dummyfunction("""COMPUTED_VALUE"""),"3")</f>
        <v>3</v>
      </c>
      <c r="D62" s="15" t="str">
        <f>IFERROR(__xludf.dummyfunction("""COMPUTED_VALUE"""),"R. L. D. S. M")</f>
        <v>R. L. D. S. M</v>
      </c>
      <c r="E62" s="15" t="str">
        <f>IFERROR(__xludf.dummyfunction("""COMPUTED_VALUE"""),"21/09/2022")</f>
        <v>21/09/2022</v>
      </c>
      <c r="F62" s="15" t="str">
        <f>IFERROR(__xludf.dummyfunction("""COMPUTED_VALUE"""),"182******16")</f>
        <v>182******16</v>
      </c>
      <c r="G62" s="15" t="str">
        <f>IFERROR(__xludf.dummyfunction("""COMPUTED_VALUE"""),"INFANTIL 3")</f>
        <v>INFANTIL 3</v>
      </c>
      <c r="H62" s="15" t="str">
        <f>IFERROR(__xludf.dummyfunction("""COMPUTED_VALUE"""),"CEMEI PROFESSORA CIBELE DE ANDRADE MENDES DE AZEVEDO")</f>
        <v>CEMEI PROFESSORA CIBELE DE ANDRADE MENDES DE AZEVEDO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5.75" customHeight="1" spans="1:25">
      <c r="A63" s="36" t="str">
        <f t="shared" si="7"/>
        <v>REGIONAL 7</v>
      </c>
      <c r="B63" s="15" t="str">
        <f>IFERROR(__xludf.dummyfunction("""COMPUTED_VALUE"""),"05/02/2026 23:06:26")</f>
        <v>05/02/2026 23:06:26</v>
      </c>
      <c r="C63" s="38" t="str">
        <f>IFERROR(__xludf.dummyfunction("""COMPUTED_VALUE"""),"1")</f>
        <v>1</v>
      </c>
      <c r="D63" s="15" t="str">
        <f>IFERROR(__xludf.dummyfunction("""COMPUTED_VALUE"""),"L. S. S")</f>
        <v>L. S. S</v>
      </c>
      <c r="E63" s="15" t="str">
        <f>IFERROR(__xludf.dummyfunction("""COMPUTED_VALUE"""),"27/04/2025")</f>
        <v>27/04/2025</v>
      </c>
      <c r="F63" s="15" t="str">
        <f>IFERROR(__xludf.dummyfunction("""COMPUTED_VALUE"""),"017******91")</f>
        <v>017******91</v>
      </c>
      <c r="G63" s="15" t="str">
        <f>IFERROR(__xludf.dummyfunction("""COMPUTED_VALUE"""),"INFANTIL 1")</f>
        <v>INFANTIL 1</v>
      </c>
      <c r="H63" s="15" t="str">
        <f>IFERROR(__xludf.dummyfunction("""COMPUTED_VALUE"""),"CRECHE MUNICIPAL PROFESSORA SILVIA CRISTINA SANTOS BOTELHO")</f>
        <v>CRECHE MUNICIPAL PROFESSORA SILVIA CRISTINA SANTOS BOTELHO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5.75" customHeight="1" spans="1:25">
      <c r="A64" s="36" t="str">
        <f t="shared" si="7"/>
        <v>REGIONAL 7</v>
      </c>
      <c r="B64" s="15" t="str">
        <f>IFERROR(__xludf.dummyfunction("""COMPUTED_VALUE"""),"27/03/2026 15:45:11")</f>
        <v>27/03/2026 15:45:11</v>
      </c>
      <c r="C64" s="38" t="str">
        <f>IFERROR(__xludf.dummyfunction("""COMPUTED_VALUE"""),"2")</f>
        <v>2</v>
      </c>
      <c r="D64" s="15" t="str">
        <f>IFERROR(__xludf.dummyfunction("""COMPUTED_VALUE"""),"A. M. D. S. V")</f>
        <v>A. M. D. S. V</v>
      </c>
      <c r="E64" s="15" t="str">
        <f>IFERROR(__xludf.dummyfunction("""COMPUTED_VALUE"""),"12/10/2024")</f>
        <v>12/10/2024</v>
      </c>
      <c r="F64" s="15" t="str">
        <f>IFERROR(__xludf.dummyfunction("""COMPUTED_VALUE"""),"004******00")</f>
        <v>004******00</v>
      </c>
      <c r="G64" s="15" t="str">
        <f>IFERROR(__xludf.dummyfunction("""COMPUTED_VALUE"""),"INFANTIL 1")</f>
        <v>INFANTIL 1</v>
      </c>
      <c r="H64" s="15" t="str">
        <f>IFERROR(__xludf.dummyfunction("""COMPUTED_VALUE"""),"CRECHE MUNICIPAL PROFESSORA SILVIA CRISTINA SANTOS BOTELHO")</f>
        <v>CRECHE MUNICIPAL PROFESSORA SILVIA CRISTINA SANTOS BOTELHO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5.75" customHeight="1" spans="1:25">
      <c r="A65" s="36" t="str">
        <f t="shared" si="7"/>
        <v>REGIONAL 7</v>
      </c>
      <c r="B65" s="15" t="str">
        <f>IFERROR(__xludf.dummyfunction("""COMPUTED_VALUE"""),"15/04/2026 22:22:20")</f>
        <v>15/04/2026 22:22:20</v>
      </c>
      <c r="C65" s="38" t="str">
        <f>IFERROR(__xludf.dummyfunction("""COMPUTED_VALUE"""),"3")</f>
        <v>3</v>
      </c>
      <c r="D65" s="15" t="str">
        <f>IFERROR(__xludf.dummyfunction("""COMPUTED_VALUE"""),"I. E. D. S")</f>
        <v>I. E. D. S</v>
      </c>
      <c r="E65" s="15" t="str">
        <f>IFERROR(__xludf.dummyfunction("""COMPUTED_VALUE"""),"19/11/2024")</f>
        <v>19/11/2024</v>
      </c>
      <c r="F65" s="15" t="str">
        <f>IFERROR(__xludf.dummyfunction("""COMPUTED_VALUE"""),"004******92")</f>
        <v>004******92</v>
      </c>
      <c r="G65" s="15" t="str">
        <f>IFERROR(__xludf.dummyfunction("""COMPUTED_VALUE"""),"INFANTIL 1")</f>
        <v>INFANTIL 1</v>
      </c>
      <c r="H65" s="15" t="str">
        <f>IFERROR(__xludf.dummyfunction("""COMPUTED_VALUE"""),"CRECHE MUNICIPAL PROFESSORA SILVIA CRISTINA SANTOS BOTELHO")</f>
        <v>CRECHE MUNICIPAL PROFESSORA SILVIA CRISTINA SANTOS BOTELHO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5.75" customHeight="1" spans="1:25">
      <c r="A66" s="36" t="str">
        <f t="shared" si="7"/>
        <v>REGIONAL 7</v>
      </c>
      <c r="B66" s="15" t="str">
        <f>IFERROR(__xludf.dummyfunction("""COMPUTED_VALUE"""),"05/05/2026 10:48:19")</f>
        <v>05/05/2026 10:48:19</v>
      </c>
      <c r="C66" s="38" t="str">
        <f>IFERROR(__xludf.dummyfunction("""COMPUTED_VALUE"""),"4")</f>
        <v>4</v>
      </c>
      <c r="D66" s="15" t="str">
        <f>IFERROR(__xludf.dummyfunction("""COMPUTED_VALUE"""),"D. N")</f>
        <v>D. N</v>
      </c>
      <c r="E66" s="15" t="str">
        <f>IFERROR(__xludf.dummyfunction("""COMPUTED_VALUE"""),"19/06/2024")</f>
        <v>19/06/2024</v>
      </c>
      <c r="F66" s="15" t="str">
        <f>IFERROR(__xludf.dummyfunction("""COMPUTED_VALUE"""),"003******78")</f>
        <v>003******78</v>
      </c>
      <c r="G66" s="15" t="str">
        <f>IFERROR(__xludf.dummyfunction("""COMPUTED_VALUE"""),"INFANTIL 1")</f>
        <v>INFANTIL 1</v>
      </c>
      <c r="H66" s="15" t="str">
        <f>IFERROR(__xludf.dummyfunction("""COMPUTED_VALUE"""),"CRECHE MUNICIPAL PROFESSORA SILVIA CRISTINA SANTOS BOTELHO")</f>
        <v>CRECHE MUNICIPAL PROFESSORA SILVIA CRISTINA SANTOS BOTELHO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5.75" customHeight="1" spans="1:25">
      <c r="A67" s="36" t="str">
        <f t="shared" si="7"/>
        <v>REGIONAL 7</v>
      </c>
      <c r="B67" s="15" t="str">
        <f>IFERROR(__xludf.dummyfunction("""COMPUTED_VALUE"""),"25/05/2026 19:36:10")</f>
        <v>25/05/2026 19:36:10</v>
      </c>
      <c r="C67" s="38" t="str">
        <f>IFERROR(__xludf.dummyfunction("""COMPUTED_VALUE"""),"5")</f>
        <v>5</v>
      </c>
      <c r="D67" s="15" t="str">
        <f>IFERROR(__xludf.dummyfunction("""COMPUTED_VALUE"""),"A. S. s. d. s")</f>
        <v>A. S. s. d. s</v>
      </c>
      <c r="E67" s="15" t="str">
        <f>IFERROR(__xludf.dummyfunction("""COMPUTED_VALUE"""),"05/01/2025")</f>
        <v>05/01/2025</v>
      </c>
      <c r="F67" s="15" t="str">
        <f>IFERROR(__xludf.dummyfunction("""COMPUTED_VALUE"""),"005******41")</f>
        <v>005******41</v>
      </c>
      <c r="G67" s="15" t="str">
        <f>IFERROR(__xludf.dummyfunction("""COMPUTED_VALUE"""),"INFANTIL 1")</f>
        <v>INFANTIL 1</v>
      </c>
      <c r="H67" s="15" t="str">
        <f>IFERROR(__xludf.dummyfunction("""COMPUTED_VALUE"""),"CRECHE MUNICIPAL PROFESSORA SILVIA CRISTINA SANTOS BOTELHO")</f>
        <v>CRECHE MUNICIPAL PROFESSORA SILVIA CRISTINA SANTOS BOTELHO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5.75" customHeight="1" spans="1:25">
      <c r="A68" s="36" t="str">
        <f t="shared" si="7"/>
        <v>REGIONAL 7</v>
      </c>
      <c r="B68" s="15" t="str">
        <f>IFERROR(__xludf.dummyfunction("""COMPUTED_VALUE"""),"23/06/2026 14:42:25")</f>
        <v>23/06/2026 14:42:25</v>
      </c>
      <c r="C68" s="38" t="str">
        <f>IFERROR(__xludf.dummyfunction("""COMPUTED_VALUE"""),"6")</f>
        <v>6</v>
      </c>
      <c r="D68" s="15" t="str">
        <f>IFERROR(__xludf.dummyfunction("""COMPUTED_VALUE"""),"L. v. S. d. O. L")</f>
        <v>L. v. S. d. O. L</v>
      </c>
      <c r="E68" s="15" t="str">
        <f>IFERROR(__xludf.dummyfunction("""COMPUTED_VALUE"""),"27/12/2024")</f>
        <v>27/12/2024</v>
      </c>
      <c r="F68" s="15" t="str">
        <f>IFERROR(__xludf.dummyfunction("""COMPUTED_VALUE"""),"004******12")</f>
        <v>004******12</v>
      </c>
      <c r="G68" s="15" t="str">
        <f>IFERROR(__xludf.dummyfunction("""COMPUTED_VALUE"""),"INFANTIL 1")</f>
        <v>INFANTIL 1</v>
      </c>
      <c r="H68" s="15" t="str">
        <f>IFERROR(__xludf.dummyfunction("""COMPUTED_VALUE"""),"CRECHE MUNICIPAL PROFESSORA SILVIA CRISTINA SANTOS BOTELHO")</f>
        <v>CRECHE MUNICIPAL PROFESSORA SILVIA CRISTINA SANTOS BOTELHO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5.75" customHeight="1" spans="1:25">
      <c r="A69" s="36" t="str">
        <f t="shared" si="7"/>
        <v>REGIONAL 7</v>
      </c>
      <c r="B69" s="15" t="str">
        <f>IFERROR(__xludf.dummyfunction("""COMPUTED_VALUE"""),"27/06/2026 22:58:33")</f>
        <v>27/06/2026 22:58:33</v>
      </c>
      <c r="C69" s="38" t="str">
        <f>IFERROR(__xludf.dummyfunction("""COMPUTED_VALUE"""),"7")</f>
        <v>7</v>
      </c>
      <c r="D69" s="15" t="str">
        <f>IFERROR(__xludf.dummyfunction("""COMPUTED_VALUE"""),"E. G. A. G")</f>
        <v>E. G. A. G</v>
      </c>
      <c r="E69" s="15" t="str">
        <f>IFERROR(__xludf.dummyfunction("""COMPUTED_VALUE"""),"19/06/2024")</f>
        <v>19/06/2024</v>
      </c>
      <c r="F69" s="15" t="str">
        <f>IFERROR(__xludf.dummyfunction("""COMPUTED_VALUE"""),"003******73")</f>
        <v>003******73</v>
      </c>
      <c r="G69" s="15" t="str">
        <f>IFERROR(__xludf.dummyfunction("""COMPUTED_VALUE"""),"INFANTIL 1")</f>
        <v>INFANTIL 1</v>
      </c>
      <c r="H69" s="15" t="str">
        <f>IFERROR(__xludf.dummyfunction("""COMPUTED_VALUE"""),"CRECHE MUNICIPAL PROFESSORA SILVIA CRISTINA SANTOS BOTELHO")</f>
        <v>CRECHE MUNICIPAL PROFESSORA SILVIA CRISTINA SANTOS BOTELHO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5.75" customHeight="1" spans="1:25">
      <c r="A70" s="36" t="str">
        <f t="shared" si="7"/>
        <v>REGIONAL 7</v>
      </c>
      <c r="B70" s="15" t="str">
        <f>IFERROR(__xludf.dummyfunction("""COMPUTED_VALUE"""),"23/09/2026 13:18:48")</f>
        <v>23/09/2026 13:18:48</v>
      </c>
      <c r="C70" s="38" t="str">
        <f>IFERROR(__xludf.dummyfunction("""COMPUTED_VALUE"""),"8")</f>
        <v>8</v>
      </c>
      <c r="D70" s="15" t="str">
        <f>IFERROR(__xludf.dummyfunction("""COMPUTED_VALUE"""),"N. M. A. d. S")</f>
        <v>N. M. A. d. S</v>
      </c>
      <c r="E70" s="15" t="str">
        <f>IFERROR(__xludf.dummyfunction("""COMPUTED_VALUE"""),"16/02/2025")</f>
        <v>16/02/2025</v>
      </c>
      <c r="F70" s="15" t="str">
        <f>IFERROR(__xludf.dummyfunction("""COMPUTED_VALUE"""),"005******60")</f>
        <v>005******60</v>
      </c>
      <c r="G70" s="15" t="str">
        <f>IFERROR(__xludf.dummyfunction("""COMPUTED_VALUE"""),"INFANTIL 1")</f>
        <v>INFANTIL 1</v>
      </c>
      <c r="H70" s="15" t="str">
        <f>IFERROR(__xludf.dummyfunction("""COMPUTED_VALUE"""),"CRECHE MUNICIPAL PROFESSORA SILVIA CRISTINA SANTOS BOTELHO")</f>
        <v>CRECHE MUNICIPAL PROFESSORA SILVIA CRISTINA SANTOS BOTELHO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5.75" customHeight="1" spans="1:25">
      <c r="A71" s="36"/>
      <c r="B71" s="15"/>
      <c r="C71" s="3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5.75" customHeight="1" spans="1:25">
      <c r="A72" s="36"/>
      <c r="B72" s="15"/>
      <c r="C72" s="3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5.75" customHeight="1" spans="1:25">
      <c r="A73" s="36"/>
      <c r="B73" s="15"/>
      <c r="C73" s="3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5.75" customHeight="1" spans="1:25">
      <c r="A74" s="36"/>
      <c r="B74" s="15"/>
      <c r="C74" s="3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</sheetData>
  <mergeCells count="17">
    <mergeCell ref="B2:Q2"/>
    <mergeCell ref="E4:Q4"/>
    <mergeCell ref="E5:H5"/>
    <mergeCell ref="I5:J5"/>
    <mergeCell ref="K5:P5"/>
    <mergeCell ref="I6:J6"/>
    <mergeCell ref="K6:L6"/>
    <mergeCell ref="M6:N6"/>
    <mergeCell ref="O6:P6"/>
    <mergeCell ref="D4:D7"/>
    <mergeCell ref="Q5:Q6"/>
    <mergeCell ref="B4:C7"/>
    <mergeCell ref="B8:C10"/>
    <mergeCell ref="B11:C13"/>
    <mergeCell ref="B14:C16"/>
    <mergeCell ref="B17:C19"/>
    <mergeCell ref="B20:C22"/>
  </mergeCells>
  <printOptions horizontalCentered="1"/>
  <pageMargins left="0.7" right="0.7" top="0.75" bottom="0.75" header="0.511811023622047" footer="0.511811023622047"/>
  <pageSetup paperSize="9" fitToHeight="0" pageOrder="overThenDown" orientation="landscape" horizontalDpi="300" verticalDpi="300"/>
  <headerFooter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Z306"/>
  <sheetViews>
    <sheetView showGridLines="0" workbookViewId="0">
      <selection activeCell="A1" sqref="A1"/>
    </sheetView>
  </sheetViews>
  <sheetFormatPr defaultColWidth="14.43" defaultRowHeight="15" customHeight="1"/>
  <cols>
    <col min="1" max="1" width="18.57" customWidth="1"/>
    <col min="3" max="3" width="18.43" customWidth="1"/>
    <col min="9" max="9" width="54.14" customWidth="1"/>
  </cols>
  <sheetData>
    <row r="1" customHeight="1" spans="1:2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Height="1" spans="1:26">
      <c r="A2" s="5"/>
      <c r="B2" s="5" t="s">
        <v>1370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B3" s="6" t="s">
        <v>1371</v>
      </c>
      <c r="C3" s="7">
        <v>46294</v>
      </c>
      <c r="D3" s="8"/>
      <c r="E3" s="8"/>
      <c r="F3" s="8"/>
      <c r="G3" s="8"/>
      <c r="H3" s="8"/>
      <c r="I3" s="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Height="1" spans="1:26">
      <c r="A4" s="3"/>
      <c r="B4" s="3"/>
      <c r="C4" s="3"/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spans="1:26">
      <c r="A5" s="3"/>
      <c r="B5" s="3"/>
      <c r="C5" s="3"/>
      <c r="D5" s="3"/>
      <c r="E5" s="3"/>
      <c r="F5" s="3"/>
      <c r="G5" s="3"/>
      <c r="H5" s="3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Height="1" spans="1:26">
      <c r="A6" s="3"/>
      <c r="B6" s="9" t="s">
        <v>23</v>
      </c>
      <c r="C6" s="10" t="s">
        <v>15</v>
      </c>
      <c r="D6" s="10" t="s">
        <v>1351</v>
      </c>
      <c r="E6" s="10" t="s">
        <v>16</v>
      </c>
      <c r="F6" s="10" t="s">
        <v>17</v>
      </c>
      <c r="G6" s="10" t="s">
        <v>11</v>
      </c>
      <c r="H6" s="10" t="s">
        <v>18</v>
      </c>
      <c r="I6" s="10" t="s">
        <v>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Height="1" spans="1:26">
      <c r="A7" s="3"/>
      <c r="B7" s="11" t="str">
        <f>IFERROR(__xludf.dummyfunction("QUERY({
regional_01!A24:H306;
regional_02!A22:H306;
regional_03!A22:H306;
regional_04!A18:H306;
regional_05!A25:H306;
regional_06!A27:H306;
regional_07!A27:H306
},""SELECT * WHERE Col1 IS NOT NULL"")"),"REGIONAL 1")</f>
        <v>REGIONAL 1</v>
      </c>
      <c r="C7" s="11" t="str">
        <f>IFERROR(__xludf.dummyfunction("""COMPUTED_VALUE"""),"02/02/2026 15:26:58")</f>
        <v>02/02/2026 15:26:58</v>
      </c>
      <c r="D7" s="11" t="str">
        <f>IFERROR(__xludf.dummyfunction("""COMPUTED_VALUE"""),"1")</f>
        <v>1</v>
      </c>
      <c r="E7" s="11" t="str">
        <f>IFERROR(__xludf.dummyfunction("""COMPUTED_VALUE"""),"D. L. D. A")</f>
        <v>D. L. D. A</v>
      </c>
      <c r="F7" s="11" t="str">
        <f>IFERROR(__xludf.dummyfunction("""COMPUTED_VALUE"""),"14/05/2022")</f>
        <v>14/05/2022</v>
      </c>
      <c r="G7" s="11" t="str">
        <f>IFERROR(__xludf.dummyfunction("""COMPUTED_VALUE"""),"181******32")</f>
        <v>181******32</v>
      </c>
      <c r="H7" s="11" t="str">
        <f>IFERROR(__xludf.dummyfunction("""COMPUTED_VALUE"""),"INFANTIL 3")</f>
        <v>INFANTIL 3</v>
      </c>
      <c r="I7" s="12" t="str">
        <f>IFERROR(__xludf.dummyfunction("""COMPUTED_VALUE"""),"CEMEI SANTO AMARO")</f>
        <v>CEMEI SANTO AMARO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Height="1" spans="1:26">
      <c r="A8" s="3"/>
      <c r="B8" s="11" t="str">
        <f>IFERROR(__xludf.dummyfunction("""COMPUTED_VALUE"""),"REGIONAL 1")</f>
        <v>REGIONAL 1</v>
      </c>
      <c r="C8" s="11" t="str">
        <f>IFERROR(__xludf.dummyfunction("""COMPUTED_VALUE"""),"10/02/2026 08:09:45")</f>
        <v>10/02/2026 08:09:45</v>
      </c>
      <c r="D8" s="11" t="str">
        <f>IFERROR(__xludf.dummyfunction("""COMPUTED_VALUE"""),"2")</f>
        <v>2</v>
      </c>
      <c r="E8" s="11" t="str">
        <f>IFERROR(__xludf.dummyfunction("""COMPUTED_VALUE"""),"E. S. F. D. S")</f>
        <v>E. S. F. D. S</v>
      </c>
      <c r="F8" s="11" t="str">
        <f>IFERROR(__xludf.dummyfunction("""COMPUTED_VALUE"""),"16/05/2022")</f>
        <v>16/05/2022</v>
      </c>
      <c r="G8" s="11" t="str">
        <f>IFERROR(__xludf.dummyfunction("""COMPUTED_VALUE"""),"181******13")</f>
        <v>181******13</v>
      </c>
      <c r="H8" s="11" t="str">
        <f>IFERROR(__xludf.dummyfunction("""COMPUTED_VALUE"""),"INFANTIL 3")</f>
        <v>INFANTIL 3</v>
      </c>
      <c r="I8" s="12" t="str">
        <f>IFERROR(__xludf.dummyfunction("""COMPUTED_VALUE"""),"CEMEI SANTO AMARO")</f>
        <v>CEMEI SANTO AMARO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Height="1" spans="1:26">
      <c r="A9" s="3"/>
      <c r="B9" s="11" t="str">
        <f>IFERROR(__xludf.dummyfunction("""COMPUTED_VALUE"""),"REGIONAL 1")</f>
        <v>REGIONAL 1</v>
      </c>
      <c r="C9" s="11" t="str">
        <f>IFERROR(__xludf.dummyfunction("""COMPUTED_VALUE"""),"24/02/2026 18:34:28")</f>
        <v>24/02/2026 18:34:28</v>
      </c>
      <c r="D9" s="11" t="str">
        <f>IFERROR(__xludf.dummyfunction("""COMPUTED_VALUE"""),"3")</f>
        <v>3</v>
      </c>
      <c r="E9" s="11" t="str">
        <f>IFERROR(__xludf.dummyfunction("""COMPUTED_VALUE"""),"T. F. L. D. S")</f>
        <v>T. F. L. D. S</v>
      </c>
      <c r="F9" s="11" t="str">
        <f>IFERROR(__xludf.dummyfunction("""COMPUTED_VALUE"""),"12/04/2022")</f>
        <v>12/04/2022</v>
      </c>
      <c r="G9" s="11" t="str">
        <f>IFERROR(__xludf.dummyfunction("""COMPUTED_VALUE"""),"181******81")</f>
        <v>181******81</v>
      </c>
      <c r="H9" s="11" t="str">
        <f>IFERROR(__xludf.dummyfunction("""COMPUTED_VALUE"""),"INFANTIL 3")</f>
        <v>INFANTIL 3</v>
      </c>
      <c r="I9" s="12" t="str">
        <f>IFERROR(__xludf.dummyfunction("""COMPUTED_VALUE"""),"CEMEI SANTO AMARO")</f>
        <v>CEMEI SANTO AMARO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Height="1" spans="1:26">
      <c r="A10" s="3"/>
      <c r="B10" s="11" t="str">
        <f>IFERROR(__xludf.dummyfunction("""COMPUTED_VALUE"""),"REGIONAL 1")</f>
        <v>REGIONAL 1</v>
      </c>
      <c r="C10" s="11" t="str">
        <f>IFERROR(__xludf.dummyfunction("""COMPUTED_VALUE"""),"05/08/2026 11:19:31")</f>
        <v>05/08/2026 11:19:31</v>
      </c>
      <c r="D10" s="11" t="str">
        <f>IFERROR(__xludf.dummyfunction("""COMPUTED_VALUE"""),"4")</f>
        <v>4</v>
      </c>
      <c r="E10" s="11" t="str">
        <f>IFERROR(__xludf.dummyfunction("""COMPUTED_VALUE"""),"I. G. D. S")</f>
        <v>I. G. D. S</v>
      </c>
      <c r="F10" s="11" t="str">
        <f>IFERROR(__xludf.dummyfunction("""COMPUTED_VALUE"""),"23/04/2022")</f>
        <v>23/04/2022</v>
      </c>
      <c r="G10" s="11" t="str">
        <f>IFERROR(__xludf.dummyfunction("""COMPUTED_VALUE"""),"182******13")</f>
        <v>182******13</v>
      </c>
      <c r="H10" s="11" t="str">
        <f>IFERROR(__xludf.dummyfunction("""COMPUTED_VALUE"""),"INFANTIL 3")</f>
        <v>INFANTIL 3</v>
      </c>
      <c r="I10" s="12" t="str">
        <f>IFERROR(__xludf.dummyfunction("""COMPUTED_VALUE"""),"CEMEI SANTO AMARO")</f>
        <v>CEMEI SANTO AMARO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Height="1" spans="1:26">
      <c r="A11" s="3"/>
      <c r="B11" s="11" t="str">
        <f>IFERROR(__xludf.dummyfunction("""COMPUTED_VALUE"""),"REGIONAL 1")</f>
        <v>REGIONAL 1</v>
      </c>
      <c r="C11" s="11" t="str">
        <f>IFERROR(__xludf.dummyfunction("""COMPUTED_VALUE"""),"21/09/2026 11:12:08")</f>
        <v>21/09/2026 11:12:08</v>
      </c>
      <c r="D11" s="11" t="str">
        <f>IFERROR(__xludf.dummyfunction("""COMPUTED_VALUE"""),"5")</f>
        <v>5</v>
      </c>
      <c r="E11" s="11" t="str">
        <f>IFERROR(__xludf.dummyfunction("""COMPUTED_VALUE"""),"H. B. B. d. S. S")</f>
        <v>H. B. B. d. S. S</v>
      </c>
      <c r="F11" s="11" t="str">
        <f>IFERROR(__xludf.dummyfunction("""COMPUTED_VALUE"""),"18/10/2022")</f>
        <v>18/10/2022</v>
      </c>
      <c r="G11" s="11" t="str">
        <f>IFERROR(__xludf.dummyfunction("""COMPUTED_VALUE"""),"183******59")</f>
        <v>183******59</v>
      </c>
      <c r="H11" s="11" t="str">
        <f>IFERROR(__xludf.dummyfunction("""COMPUTED_VALUE"""),"INFANTIL 3")</f>
        <v>INFANTIL 3</v>
      </c>
      <c r="I11" s="12" t="str">
        <f>IFERROR(__xludf.dummyfunction("""COMPUTED_VALUE"""),"CEMEI SANTO AMARO")</f>
        <v>CEMEI SANTO AMARO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Height="1" spans="1:26">
      <c r="A12" s="3"/>
      <c r="B12" s="11" t="str">
        <f>IFERROR(__xludf.dummyfunction("""COMPUTED_VALUE"""),"REGIONAL 1")</f>
        <v>REGIONAL 1</v>
      </c>
      <c r="C12" s="11" t="str">
        <f>IFERROR(__xludf.dummyfunction("""COMPUTED_VALUE"""),"13/05/2026 19:48:23")</f>
        <v>13/05/2026 19:48:23</v>
      </c>
      <c r="D12" s="11" t="str">
        <f>IFERROR(__xludf.dummyfunction("""COMPUTED_VALUE"""),"1")</f>
        <v>1</v>
      </c>
      <c r="E12" s="11" t="str">
        <f>IFERROR(__xludf.dummyfunction("""COMPUTED_VALUE"""),"H. V. S. R")</f>
        <v>H. V. S. R</v>
      </c>
      <c r="F12" s="11" t="str">
        <f>IFERROR(__xludf.dummyfunction("""COMPUTED_VALUE"""),"09/06/2022")</f>
        <v>09/06/2022</v>
      </c>
      <c r="G12" s="11" t="str">
        <f>IFERROR(__xludf.dummyfunction("""COMPUTED_VALUE"""),"181******04")</f>
        <v>181******04</v>
      </c>
      <c r="H12" s="11" t="str">
        <f>IFERROR(__xludf.dummyfunction("""COMPUTED_VALUE"""),"INFANTIL 3")</f>
        <v>INFANTIL 3</v>
      </c>
      <c r="I12" s="12" t="str">
        <f>IFERROR(__xludf.dummyfunction("""COMPUTED_VALUE"""),"CEMEI SANTO AMARO")</f>
        <v>CEMEI SANTO AMARO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Height="1" spans="1:26">
      <c r="A13" s="3"/>
      <c r="B13" s="11" t="str">
        <f>IFERROR(__xludf.dummyfunction("""COMPUTED_VALUE"""),"REGIONAL 1")</f>
        <v>REGIONAL 1</v>
      </c>
      <c r="C13" s="11" t="str">
        <f>IFERROR(__xludf.dummyfunction("""COMPUTED_VALUE"""),"20/05/2026 10:33:36")</f>
        <v>20/05/2026 10:33:36</v>
      </c>
      <c r="D13" s="11" t="str">
        <f>IFERROR(__xludf.dummyfunction("""COMPUTED_VALUE"""),"2")</f>
        <v>2</v>
      </c>
      <c r="E13" s="11" t="str">
        <f>IFERROR(__xludf.dummyfunction("""COMPUTED_VALUE"""),"B. C. D. I. G")</f>
        <v>B. C. D. I. G</v>
      </c>
      <c r="F13" s="11" t="str">
        <f>IFERROR(__xludf.dummyfunction("""COMPUTED_VALUE"""),"02/11/2022")</f>
        <v>02/11/2022</v>
      </c>
      <c r="G13" s="11" t="str">
        <f>IFERROR(__xludf.dummyfunction("""COMPUTED_VALUE"""),"183******74")</f>
        <v>183******74</v>
      </c>
      <c r="H13" s="11" t="str">
        <f>IFERROR(__xludf.dummyfunction("""COMPUTED_VALUE"""),"INFANTIL 3")</f>
        <v>INFANTIL 3</v>
      </c>
      <c r="I13" s="12" t="str">
        <f>IFERROR(__xludf.dummyfunction("""COMPUTED_VALUE"""),"CEMEI SANTO AMARO")</f>
        <v>CEMEI SANTO AMARO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Height="1" spans="1:26">
      <c r="A14" s="3"/>
      <c r="B14" s="11" t="str">
        <f>IFERROR(__xludf.dummyfunction("""COMPUTED_VALUE"""),"REGIONAL 1")</f>
        <v>REGIONAL 1</v>
      </c>
      <c r="C14" s="11" t="str">
        <f>IFERROR(__xludf.dummyfunction("""COMPUTED_VALUE"""),"25/05/2026 08:40:05")</f>
        <v>25/05/2026 08:40:05</v>
      </c>
      <c r="D14" s="11" t="str">
        <f>IFERROR(__xludf.dummyfunction("""COMPUTED_VALUE"""),"3")</f>
        <v>3</v>
      </c>
      <c r="E14" s="11" t="str">
        <f>IFERROR(__xludf.dummyfunction("""COMPUTED_VALUE"""),"E. M. d. M. p")</f>
        <v>E. M. d. M. p</v>
      </c>
      <c r="F14" s="11" t="str">
        <f>IFERROR(__xludf.dummyfunction("""COMPUTED_VALUE"""),"25/02/2023")</f>
        <v>25/02/2023</v>
      </c>
      <c r="G14" s="11" t="str">
        <f>IFERROR(__xludf.dummyfunction("""COMPUTED_VALUE"""),"184******28")</f>
        <v>184******28</v>
      </c>
      <c r="H14" s="11" t="str">
        <f>IFERROR(__xludf.dummyfunction("""COMPUTED_VALUE"""),"INFANTIL 3")</f>
        <v>INFANTIL 3</v>
      </c>
      <c r="I14" s="12" t="str">
        <f>IFERROR(__xludf.dummyfunction("""COMPUTED_VALUE"""),"CEMEI SANTO AMARO")</f>
        <v>CEMEI SANTO AMARO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Height="1" spans="1:26">
      <c r="A15" s="3"/>
      <c r="B15" s="11" t="str">
        <f>IFERROR(__xludf.dummyfunction("""COMPUTED_VALUE"""),"REGIONAL 1")</f>
        <v>REGIONAL 1</v>
      </c>
      <c r="C15" s="11" t="str">
        <f>IFERROR(__xludf.dummyfunction("""COMPUTED_VALUE"""),"10/06/2026 07:16:18")</f>
        <v>10/06/2026 07:16:18</v>
      </c>
      <c r="D15" s="11" t="str">
        <f>IFERROR(__xludf.dummyfunction("""COMPUTED_VALUE"""),"4")</f>
        <v>4</v>
      </c>
      <c r="E15" s="11" t="str">
        <f>IFERROR(__xludf.dummyfunction("""COMPUTED_VALUE"""),"A. F. B. R")</f>
        <v>A. F. B. R</v>
      </c>
      <c r="F15" s="11" t="str">
        <f>IFERROR(__xludf.dummyfunction("""COMPUTED_VALUE"""),"17/02/2023")</f>
        <v>17/02/2023</v>
      </c>
      <c r="G15" s="11" t="str">
        <f>IFERROR(__xludf.dummyfunction("""COMPUTED_VALUE"""),"184******12")</f>
        <v>184******12</v>
      </c>
      <c r="H15" s="11" t="str">
        <f>IFERROR(__xludf.dummyfunction("""COMPUTED_VALUE"""),"INFANTIL 3")</f>
        <v>INFANTIL 3</v>
      </c>
      <c r="I15" s="12" t="str">
        <f>IFERROR(__xludf.dummyfunction("""COMPUTED_VALUE"""),"CEMEI SANTO AMARO")</f>
        <v>CEMEI SANTO AMARO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Height="1" spans="1:26">
      <c r="A16" s="3"/>
      <c r="B16" s="11" t="str">
        <f>IFERROR(__xludf.dummyfunction("""COMPUTED_VALUE"""),"REGIONAL 1")</f>
        <v>REGIONAL 1</v>
      </c>
      <c r="C16" s="11" t="str">
        <f>IFERROR(__xludf.dummyfunction("""COMPUTED_VALUE"""),"14/03/2026 10:04:37")</f>
        <v>14/03/2026 10:04:37</v>
      </c>
      <c r="D16" s="11" t="str">
        <f>IFERROR(__xludf.dummyfunction("""COMPUTED_VALUE"""),"1")</f>
        <v>1</v>
      </c>
      <c r="E16" s="11" t="str">
        <f>IFERROR(__xludf.dummyfunction("""COMPUTED_VALUE"""),"B. C")</f>
        <v>B. C</v>
      </c>
      <c r="F16" s="11" t="str">
        <f>IFERROR(__xludf.dummyfunction("""COMPUTED_VALUE"""),"27/06/2024")</f>
        <v>27/06/2024</v>
      </c>
      <c r="G16" s="11" t="str">
        <f>IFERROR(__xludf.dummyfunction("""COMPUTED_VALUE"""),"003******01")</f>
        <v>003******01</v>
      </c>
      <c r="H16" s="11" t="str">
        <f>IFERROR(__xludf.dummyfunction("""COMPUTED_VALUE"""),"INFANTIL 1")</f>
        <v>INFANTIL 1</v>
      </c>
      <c r="I16" s="12" t="str">
        <f>IFERROR(__xludf.dummyfunction("""COMPUTED_VALUE"""),"CRECHE CIRANDA CIRANDINHA")</f>
        <v>CRECHE CIRANDA CIRANDINHA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Height="1" spans="1:26">
      <c r="A17" s="3"/>
      <c r="B17" s="11" t="str">
        <f>IFERROR(__xludf.dummyfunction("""COMPUTED_VALUE"""),"REGIONAL 1")</f>
        <v>REGIONAL 1</v>
      </c>
      <c r="C17" s="11" t="str">
        <f>IFERROR(__xludf.dummyfunction("""COMPUTED_VALUE"""),"29/04/2026 14:37:28")</f>
        <v>29/04/2026 14:37:28</v>
      </c>
      <c r="D17" s="11" t="str">
        <f>IFERROR(__xludf.dummyfunction("""COMPUTED_VALUE"""),"2")</f>
        <v>2</v>
      </c>
      <c r="E17" s="11" t="str">
        <f>IFERROR(__xludf.dummyfunction("""COMPUTED_VALUE"""),"K. R. B. D. B")</f>
        <v>K. R. B. D. B</v>
      </c>
      <c r="F17" s="11" t="str">
        <f>IFERROR(__xludf.dummyfunction("""COMPUTED_VALUE"""),"14/01/2025")</f>
        <v>14/01/2025</v>
      </c>
      <c r="G17" s="11" t="str">
        <f>IFERROR(__xludf.dummyfunction("""COMPUTED_VALUE"""),"006******40")</f>
        <v>006******40</v>
      </c>
      <c r="H17" s="11" t="str">
        <f>IFERROR(__xludf.dummyfunction("""COMPUTED_VALUE"""),"INFANTIL 1")</f>
        <v>INFANTIL 1</v>
      </c>
      <c r="I17" s="12" t="str">
        <f>IFERROR(__xludf.dummyfunction("""COMPUTED_VALUE"""),"CRECHE CIRANDA CIRANDINHA")</f>
        <v>CRECHE CIRANDA CIRANDINHA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Height="1" spans="1:26">
      <c r="A18" s="3"/>
      <c r="B18" s="11" t="str">
        <f>IFERROR(__xludf.dummyfunction("""COMPUTED_VALUE"""),"REGIONAL 1")</f>
        <v>REGIONAL 1</v>
      </c>
      <c r="C18" s="11" t="str">
        <f>IFERROR(__xludf.dummyfunction("""COMPUTED_VALUE"""),"28/05/2026 16:17:10")</f>
        <v>28/05/2026 16:17:10</v>
      </c>
      <c r="D18" s="11" t="str">
        <f>IFERROR(__xludf.dummyfunction("""COMPUTED_VALUE"""),"3")</f>
        <v>3</v>
      </c>
      <c r="E18" s="11" t="str">
        <f>IFERROR(__xludf.dummyfunction("""COMPUTED_VALUE"""),"H. C. R. G")</f>
        <v>H. C. R. G</v>
      </c>
      <c r="F18" s="11" t="str">
        <f>IFERROR(__xludf.dummyfunction("""COMPUTED_VALUE"""),"02/12/2024")</f>
        <v>02/12/2024</v>
      </c>
      <c r="G18" s="11" t="str">
        <f>IFERROR(__xludf.dummyfunction("""COMPUTED_VALUE"""),"004******08")</f>
        <v>004******08</v>
      </c>
      <c r="H18" s="11" t="str">
        <f>IFERROR(__xludf.dummyfunction("""COMPUTED_VALUE"""),"INFANTIL 1")</f>
        <v>INFANTIL 1</v>
      </c>
      <c r="I18" s="12" t="str">
        <f>IFERROR(__xludf.dummyfunction("""COMPUTED_VALUE"""),"CRECHE CIRANDA CIRANDINHA")</f>
        <v>CRECHE CIRANDA CIRANDINHA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Height="1" spans="1:26">
      <c r="A19" s="3"/>
      <c r="B19" s="11" t="str">
        <f>IFERROR(__xludf.dummyfunction("""COMPUTED_VALUE"""),"REGIONAL 1")</f>
        <v>REGIONAL 1</v>
      </c>
      <c r="C19" s="11" t="str">
        <f>IFERROR(__xludf.dummyfunction("""COMPUTED_VALUE"""),"01/06/2026 12:23:26")</f>
        <v>01/06/2026 12:23:26</v>
      </c>
      <c r="D19" s="11" t="str">
        <f>IFERROR(__xludf.dummyfunction("""COMPUTED_VALUE"""),"4")</f>
        <v>4</v>
      </c>
      <c r="E19" s="11" t="str">
        <f>IFERROR(__xludf.dummyfunction("""COMPUTED_VALUE"""),"A. B. F. R")</f>
        <v>A. B. F. R</v>
      </c>
      <c r="F19" s="11" t="str">
        <f>IFERROR(__xludf.dummyfunction("""COMPUTED_VALUE"""),"27/06/2025")</f>
        <v>27/06/2025</v>
      </c>
      <c r="G19" s="11" t="str">
        <f>IFERROR(__xludf.dummyfunction("""COMPUTED_VALUE"""),"006******01")</f>
        <v>006******01</v>
      </c>
      <c r="H19" s="11" t="str">
        <f>IFERROR(__xludf.dummyfunction("""COMPUTED_VALUE"""),"INFANTIL 1")</f>
        <v>INFANTIL 1</v>
      </c>
      <c r="I19" s="12" t="str">
        <f>IFERROR(__xludf.dummyfunction("""COMPUTED_VALUE"""),"CRECHE CIRANDA CIRANDINHA")</f>
        <v>CRECHE CIRANDA CIRANDINHA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Height="1" spans="1:26">
      <c r="A20" s="3"/>
      <c r="B20" s="11" t="str">
        <f>IFERROR(__xludf.dummyfunction("""COMPUTED_VALUE"""),"REGIONAL 1")</f>
        <v>REGIONAL 1</v>
      </c>
      <c r="C20" s="11" t="str">
        <f>IFERROR(__xludf.dummyfunction("""COMPUTED_VALUE"""),"19/06/2026 10:54:15")</f>
        <v>19/06/2026 10:54:15</v>
      </c>
      <c r="D20" s="11" t="str">
        <f>IFERROR(__xludf.dummyfunction("""COMPUTED_VALUE"""),"5")</f>
        <v>5</v>
      </c>
      <c r="E20" s="11" t="str">
        <f>IFERROR(__xludf.dummyfunction("""COMPUTED_VALUE"""),"M. L. c. f")</f>
        <v>M. L. c. f</v>
      </c>
      <c r="F20" s="11" t="str">
        <f>IFERROR(__xludf.dummyfunction("""COMPUTED_VALUE"""),"28/07/2025")</f>
        <v>28/07/2025</v>
      </c>
      <c r="G20" s="11" t="str">
        <f>IFERROR(__xludf.dummyfunction("""COMPUTED_VALUE"""),"007******42")</f>
        <v>007******42</v>
      </c>
      <c r="H20" s="11" t="str">
        <f>IFERROR(__xludf.dummyfunction("""COMPUTED_VALUE"""),"INFANTIL 1")</f>
        <v>INFANTIL 1</v>
      </c>
      <c r="I20" s="12" t="str">
        <f>IFERROR(__xludf.dummyfunction("""COMPUTED_VALUE"""),"CRECHE CIRANDA CIRANDINHA")</f>
        <v>CRECHE CIRANDA CIRANDINHA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Height="1" spans="1:26">
      <c r="A21" s="3"/>
      <c r="B21" s="11" t="str">
        <f>IFERROR(__xludf.dummyfunction("""COMPUTED_VALUE"""),"REGIONAL 1")</f>
        <v>REGIONAL 1</v>
      </c>
      <c r="C21" s="11" t="str">
        <f>IFERROR(__xludf.dummyfunction("""COMPUTED_VALUE"""),"15/07/2026 09:24:08")</f>
        <v>15/07/2026 09:24:08</v>
      </c>
      <c r="D21" s="11" t="str">
        <f>IFERROR(__xludf.dummyfunction("""COMPUTED_VALUE"""),"6")</f>
        <v>6</v>
      </c>
      <c r="E21" s="11" t="str">
        <f>IFERROR(__xludf.dummyfunction("""COMPUTED_VALUE"""),"A. M. d. S. M")</f>
        <v>A. M. d. S. M</v>
      </c>
      <c r="F21" s="11" t="str">
        <f>IFERROR(__xludf.dummyfunction("""COMPUTED_VALUE"""),"23/09/2025")</f>
        <v>23/09/2025</v>
      </c>
      <c r="G21" s="11" t="str">
        <f>IFERROR(__xludf.dummyfunction("""COMPUTED_VALUE"""),"015******72")</f>
        <v>015******72</v>
      </c>
      <c r="H21" s="11" t="str">
        <f>IFERROR(__xludf.dummyfunction("""COMPUTED_VALUE"""),"INFANTIL 1")</f>
        <v>INFANTIL 1</v>
      </c>
      <c r="I21" s="12" t="str">
        <f>IFERROR(__xludf.dummyfunction("""COMPUTED_VALUE"""),"CRECHE CIRANDA CIRANDINHA")</f>
        <v>CRECHE CIRANDA CIRANDINHA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Height="1" spans="1:26">
      <c r="A22" s="3"/>
      <c r="B22" s="11" t="str">
        <f>IFERROR(__xludf.dummyfunction("""COMPUTED_VALUE"""),"REGIONAL 1")</f>
        <v>REGIONAL 1</v>
      </c>
      <c r="C22" s="11" t="str">
        <f>IFERROR(__xludf.dummyfunction("""COMPUTED_VALUE"""),"13/09/2026 22:23:43")</f>
        <v>13/09/2026 22:23:43</v>
      </c>
      <c r="D22" s="11" t="str">
        <f>IFERROR(__xludf.dummyfunction("""COMPUTED_VALUE"""),"7")</f>
        <v>7</v>
      </c>
      <c r="E22" s="11" t="str">
        <f>IFERROR(__xludf.dummyfunction("""COMPUTED_VALUE"""),"Y. G. g. S")</f>
        <v>Y. G. g. S</v>
      </c>
      <c r="F22" s="11" t="str">
        <f>IFERROR(__xludf.dummyfunction("""COMPUTED_VALUE"""),"11/02/2026")</f>
        <v>11/02/2026</v>
      </c>
      <c r="G22" s="11" t="str">
        <f>IFERROR(__xludf.dummyfunction("""COMPUTED_VALUE"""),"048******72")</f>
        <v>048******72</v>
      </c>
      <c r="H22" s="11" t="str">
        <f>IFERROR(__xludf.dummyfunction("""COMPUTED_VALUE"""),"INFANTIL 1")</f>
        <v>INFANTIL 1</v>
      </c>
      <c r="I22" s="12" t="str">
        <f>IFERROR(__xludf.dummyfunction("""COMPUTED_VALUE"""),"CRECHE CIRANDA CIRANDINHA")</f>
        <v>CRECHE CIRANDA CIRANDINHA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Height="1" spans="1:26">
      <c r="A23" s="3"/>
      <c r="B23" s="11" t="str">
        <f>IFERROR(__xludf.dummyfunction("""COMPUTED_VALUE"""),"REGIONAL 1")</f>
        <v>REGIONAL 1</v>
      </c>
      <c r="C23" s="11" t="str">
        <f>IFERROR(__xludf.dummyfunction("""COMPUTED_VALUE"""),"22/09/2026 15:25:56")</f>
        <v>22/09/2026 15:25:56</v>
      </c>
      <c r="D23" s="11" t="str">
        <f>IFERROR(__xludf.dummyfunction("""COMPUTED_VALUE"""),"8")</f>
        <v>8</v>
      </c>
      <c r="E23" s="11" t="str">
        <f>IFERROR(__xludf.dummyfunction("""COMPUTED_VALUE"""),"J. J. D. S. P. N")</f>
        <v>J. J. D. S. P. N</v>
      </c>
      <c r="F23" s="11" t="str">
        <f>IFERROR(__xludf.dummyfunction("""COMPUTED_VALUE"""),"01/12/2024")</f>
        <v>01/12/2024</v>
      </c>
      <c r="G23" s="11" t="str">
        <f>IFERROR(__xludf.dummyfunction("""COMPUTED_VALUE"""),"005******59")</f>
        <v>005******59</v>
      </c>
      <c r="H23" s="11" t="str">
        <f>IFERROR(__xludf.dummyfunction("""COMPUTED_VALUE"""),"INFANTIL 1")</f>
        <v>INFANTIL 1</v>
      </c>
      <c r="I23" s="12" t="str">
        <f>IFERROR(__xludf.dummyfunction("""COMPUTED_VALUE"""),"CRECHE CIRANDA CIRANDINHA")</f>
        <v>CRECHE CIRANDA CIRANDINHA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Height="1" spans="1:26">
      <c r="A24" s="3"/>
      <c r="B24" s="11" t="str">
        <f>IFERROR(__xludf.dummyfunction("""COMPUTED_VALUE"""),"REGIONAL 1")</f>
        <v>REGIONAL 1</v>
      </c>
      <c r="C24" s="11" t="str">
        <f>IFERROR(__xludf.dummyfunction("""COMPUTED_VALUE"""),"02/02/2026 14:50:25")</f>
        <v>02/02/2026 14:50:25</v>
      </c>
      <c r="D24" s="11" t="str">
        <f>IFERROR(__xludf.dummyfunction("""COMPUTED_VALUE"""),"1")</f>
        <v>1</v>
      </c>
      <c r="E24" s="11" t="str">
        <f>IFERROR(__xludf.dummyfunction("""COMPUTED_VALUE"""),"A. T. A. M. D. M")</f>
        <v>A. T. A. M. D. M</v>
      </c>
      <c r="F24" s="11" t="str">
        <f>IFERROR(__xludf.dummyfunction("""COMPUTED_VALUE"""),"04/10/2023")</f>
        <v>04/10/2023</v>
      </c>
      <c r="G24" s="11" t="str">
        <f>IFERROR(__xludf.dummyfunction("""COMPUTED_VALUE"""),"000******96")</f>
        <v>000******96</v>
      </c>
      <c r="H24" s="11" t="str">
        <f>IFERROR(__xludf.dummyfunction("""COMPUTED_VALUE"""),"INFANTIL 2")</f>
        <v>INFANTIL 2</v>
      </c>
      <c r="I24" s="12" t="str">
        <f>IFERROR(__xludf.dummyfunction("""COMPUTED_VALUE"""),"CRECHE CIRANDA CIRANDINHA")</f>
        <v>CRECHE CIRANDA CIRANDINHA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Height="1" spans="1:26">
      <c r="A25" s="3"/>
      <c r="B25" s="11" t="str">
        <f>IFERROR(__xludf.dummyfunction("""COMPUTED_VALUE"""),"REGIONAL 1")</f>
        <v>REGIONAL 1</v>
      </c>
      <c r="C25" s="11" t="str">
        <f>IFERROR(__xludf.dummyfunction("""COMPUTED_VALUE"""),"09/02/2026 08:21:00")</f>
        <v>09/02/2026 08:21:00</v>
      </c>
      <c r="D25" s="11" t="str">
        <f>IFERROR(__xludf.dummyfunction("""COMPUTED_VALUE"""),"2")</f>
        <v>2</v>
      </c>
      <c r="E25" s="11" t="str">
        <f>IFERROR(__xludf.dummyfunction("""COMPUTED_VALUE"""),"E. V. G. V")</f>
        <v>E. V. G. V</v>
      </c>
      <c r="F25" s="11" t="str">
        <f>IFERROR(__xludf.dummyfunction("""COMPUTED_VALUE"""),"15/07/2023")</f>
        <v>15/07/2023</v>
      </c>
      <c r="G25" s="11" t="str">
        <f>IFERROR(__xludf.dummyfunction("""COMPUTED_VALUE"""),"186******70")</f>
        <v>186******70</v>
      </c>
      <c r="H25" s="11" t="str">
        <f>IFERROR(__xludf.dummyfunction("""COMPUTED_VALUE"""),"INFANTIL 2")</f>
        <v>INFANTIL 2</v>
      </c>
      <c r="I25" s="12" t="str">
        <f>IFERROR(__xludf.dummyfunction("""COMPUTED_VALUE"""),"CRECHE CIRANDA CIRANDINHA")</f>
        <v>CRECHE CIRANDA CIRANDINHA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Height="1" spans="1:26">
      <c r="A26" s="3"/>
      <c r="B26" s="11" t="str">
        <f>IFERROR(__xludf.dummyfunction("""COMPUTED_VALUE"""),"REGIONAL 1")</f>
        <v>REGIONAL 1</v>
      </c>
      <c r="C26" s="11" t="str">
        <f>IFERROR(__xludf.dummyfunction("""COMPUTED_VALUE"""),"22/09/2026 14:54:21")</f>
        <v>22/09/2026 14:54:21</v>
      </c>
      <c r="D26" s="11" t="str">
        <f>IFERROR(__xludf.dummyfunction("""COMPUTED_VALUE"""),"3")</f>
        <v>3</v>
      </c>
      <c r="E26" s="11" t="str">
        <f>IFERROR(__xludf.dummyfunction("""COMPUTED_VALUE"""),"A. H. D. S. N")</f>
        <v>A. H. D. S. N</v>
      </c>
      <c r="F26" s="11" t="str">
        <f>IFERROR(__xludf.dummyfunction("""COMPUTED_VALUE"""),"30/07/2023")</f>
        <v>30/07/2023</v>
      </c>
      <c r="G26" s="11" t="str">
        <f>IFERROR(__xludf.dummyfunction("""COMPUTED_VALUE"""),"000******08")</f>
        <v>000******08</v>
      </c>
      <c r="H26" s="11" t="str">
        <f>IFERROR(__xludf.dummyfunction("""COMPUTED_VALUE"""),"INFANTIL 2")</f>
        <v>INFANTIL 2</v>
      </c>
      <c r="I26" s="12" t="str">
        <f>IFERROR(__xludf.dummyfunction("""COMPUTED_VALUE"""),"CRECHE CIRANDA CIRANDINHA")</f>
        <v>CRECHE CIRANDA CIRANDINHA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Height="1" spans="1:26">
      <c r="A27" s="3"/>
      <c r="B27" s="11" t="str">
        <f>IFERROR(__xludf.dummyfunction("""COMPUTED_VALUE"""),"REGIONAL 1")</f>
        <v>REGIONAL 1</v>
      </c>
      <c r="C27" s="11" t="str">
        <f>IFERROR(__xludf.dummyfunction("""COMPUTED_VALUE"""),"26/02/2026 23:38:28")</f>
        <v>26/02/2026 23:38:28</v>
      </c>
      <c r="D27" s="11" t="str">
        <f>IFERROR(__xludf.dummyfunction("""COMPUTED_VALUE"""),"1")</f>
        <v>1</v>
      </c>
      <c r="E27" s="11" t="str">
        <f>IFERROR(__xludf.dummyfunction("""COMPUTED_VALUE"""),"C. E. D. S. R")</f>
        <v>C. E. D. S. R</v>
      </c>
      <c r="F27" s="11" t="str">
        <f>IFERROR(__xludf.dummyfunction("""COMPUTED_VALUE"""),"04/06/2022")</f>
        <v>04/06/2022</v>
      </c>
      <c r="G27" s="11" t="str">
        <f>IFERROR(__xludf.dummyfunction("""COMPUTED_VALUE"""),"181******48")</f>
        <v>181******48</v>
      </c>
      <c r="H27" s="11" t="str">
        <f>IFERROR(__xludf.dummyfunction("""COMPUTED_VALUE"""),"INFANTIL 3")</f>
        <v>INFANTIL 3</v>
      </c>
      <c r="I27" s="12" t="str">
        <f>IFERROR(__xludf.dummyfunction("""COMPUTED_VALUE"""),"CRECHE CIRANDA CIRANDINHA")</f>
        <v>CRECHE CIRANDA CIRANDINHA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Height="1" spans="1:26">
      <c r="A28" s="3"/>
      <c r="B28" s="11" t="str">
        <f>IFERROR(__xludf.dummyfunction("""COMPUTED_VALUE"""),"REGIONAL 1")</f>
        <v>REGIONAL 1</v>
      </c>
      <c r="C28" s="11" t="str">
        <f>IFERROR(__xludf.dummyfunction("""COMPUTED_VALUE"""),"24/03/2026 10:37:29")</f>
        <v>24/03/2026 10:37:29</v>
      </c>
      <c r="D28" s="11" t="str">
        <f>IFERROR(__xludf.dummyfunction("""COMPUTED_VALUE"""),"2")</f>
        <v>2</v>
      </c>
      <c r="E28" s="11" t="str">
        <f>IFERROR(__xludf.dummyfunction("""COMPUTED_VALUE"""),"R. M. S. C. F")</f>
        <v>R. M. S. C. F</v>
      </c>
      <c r="F28" s="11" t="str">
        <f>IFERROR(__xludf.dummyfunction("""COMPUTED_VALUE"""),"20/08/2022")</f>
        <v>20/08/2022</v>
      </c>
      <c r="G28" s="11" t="str">
        <f>IFERROR(__xludf.dummyfunction("""COMPUTED_VALUE"""),"182******17")</f>
        <v>182******17</v>
      </c>
      <c r="H28" s="11" t="str">
        <f>IFERROR(__xludf.dummyfunction("""COMPUTED_VALUE"""),"INFANTIL 3")</f>
        <v>INFANTIL 3</v>
      </c>
      <c r="I28" s="12" t="str">
        <f>IFERROR(__xludf.dummyfunction("""COMPUTED_VALUE"""),"CRECHE CIRANDA CIRANDINHA")</f>
        <v>CRECHE CIRANDA CIRANDINHA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Height="1" spans="1:26">
      <c r="A29" s="3"/>
      <c r="B29" s="11" t="str">
        <f>IFERROR(__xludf.dummyfunction("""COMPUTED_VALUE"""),"REGIONAL 1")</f>
        <v>REGIONAL 1</v>
      </c>
      <c r="C29" s="11" t="str">
        <f>IFERROR(__xludf.dummyfunction("""COMPUTED_VALUE"""),"23/04/2026 12:52:15")</f>
        <v>23/04/2026 12:52:15</v>
      </c>
      <c r="D29" s="11" t="str">
        <f>IFERROR(__xludf.dummyfunction("""COMPUTED_VALUE"""),"3")</f>
        <v>3</v>
      </c>
      <c r="E29" s="11" t="str">
        <f>IFERROR(__xludf.dummyfunction("""COMPUTED_VALUE"""),"Y. M. D. S. G")</f>
        <v>Y. M. D. S. G</v>
      </c>
      <c r="F29" s="11" t="str">
        <f>IFERROR(__xludf.dummyfunction("""COMPUTED_VALUE"""),"20/05/2022")</f>
        <v>20/05/2022</v>
      </c>
      <c r="G29" s="11" t="str">
        <f>IFERROR(__xludf.dummyfunction("""COMPUTED_VALUE"""),"181******04")</f>
        <v>181******04</v>
      </c>
      <c r="H29" s="11" t="str">
        <f>IFERROR(__xludf.dummyfunction("""COMPUTED_VALUE"""),"INFANTIL 3")</f>
        <v>INFANTIL 3</v>
      </c>
      <c r="I29" s="12" t="str">
        <f>IFERROR(__xludf.dummyfunction("""COMPUTED_VALUE"""),"CRECHE CIRANDA CIRANDINHA")</f>
        <v>CRECHE CIRANDA CIRANDINHA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Height="1" spans="1:26">
      <c r="A30" s="3"/>
      <c r="B30" s="11" t="str">
        <f>IFERROR(__xludf.dummyfunction("""COMPUTED_VALUE"""),"REGIONAL 1")</f>
        <v>REGIONAL 1</v>
      </c>
      <c r="C30" s="11" t="str">
        <f>IFERROR(__xludf.dummyfunction("""COMPUTED_VALUE"""),"23/02/2026 09:25:20")</f>
        <v>23/02/2026 09:25:20</v>
      </c>
      <c r="D30" s="11" t="str">
        <f>IFERROR(__xludf.dummyfunction("""COMPUTED_VALUE"""),"1")</f>
        <v>1</v>
      </c>
      <c r="E30" s="11" t="str">
        <f>IFERROR(__xludf.dummyfunction("""COMPUTED_VALUE"""),"L. E. C. D. O")</f>
        <v>L. E. C. D. O</v>
      </c>
      <c r="F30" s="11" t="str">
        <f>IFERROR(__xludf.dummyfunction("""COMPUTED_VALUE"""),"08/07/2024")</f>
        <v>08/07/2024</v>
      </c>
      <c r="G30" s="11" t="str">
        <f>IFERROR(__xludf.dummyfunction("""COMPUTED_VALUE"""),"003******55")</f>
        <v>003******55</v>
      </c>
      <c r="H30" s="11" t="str">
        <f>IFERROR(__xludf.dummyfunction("""COMPUTED_VALUE"""),"INFANTIL 1")</f>
        <v>INFANTIL 1</v>
      </c>
      <c r="I30" s="12" t="str">
        <f>IFERROR(__xludf.dummyfunction("""COMPUTED_VALUE"""),"CRECHE MUNICIPAL PROFESSORA MARIA RITA LINS MARTINS")</f>
        <v>CRECHE MUNICIPAL PROFESSORA MARIA RITA LINS MARTINS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Height="1" spans="1:26">
      <c r="A31" s="3"/>
      <c r="B31" s="11" t="str">
        <f>IFERROR(__xludf.dummyfunction("""COMPUTED_VALUE"""),"REGIONAL 1")</f>
        <v>REGIONAL 1</v>
      </c>
      <c r="C31" s="11" t="str">
        <f>IFERROR(__xludf.dummyfunction("""COMPUTED_VALUE"""),"23/02/2026 22:06:49")</f>
        <v>23/02/2026 22:06:49</v>
      </c>
      <c r="D31" s="11" t="str">
        <f>IFERROR(__xludf.dummyfunction("""COMPUTED_VALUE"""),"2")</f>
        <v>2</v>
      </c>
      <c r="E31" s="11" t="str">
        <f>IFERROR(__xludf.dummyfunction("""COMPUTED_VALUE"""),"B. S. S. D. S")</f>
        <v>B. S. S. D. S</v>
      </c>
      <c r="F31" s="11" t="str">
        <f>IFERROR(__xludf.dummyfunction("""COMPUTED_VALUE"""),"13/09/2024")</f>
        <v>13/09/2024</v>
      </c>
      <c r="G31" s="11" t="str">
        <f>IFERROR(__xludf.dummyfunction("""COMPUTED_VALUE"""),"004******73")</f>
        <v>004******73</v>
      </c>
      <c r="H31" s="11" t="str">
        <f>IFERROR(__xludf.dummyfunction("""COMPUTED_VALUE"""),"INFANTIL 1")</f>
        <v>INFANTIL 1</v>
      </c>
      <c r="I31" s="12" t="str">
        <f>IFERROR(__xludf.dummyfunction("""COMPUTED_VALUE"""),"CRECHE MUNICIPAL PROFESSORA MARIA RITA LINS MARTINS")</f>
        <v>CRECHE MUNICIPAL PROFESSORA MARIA RITA LINS MARTINS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Height="1" spans="1:26">
      <c r="A32" s="3"/>
      <c r="B32" s="11" t="str">
        <f>IFERROR(__xludf.dummyfunction("""COMPUTED_VALUE"""),"REGIONAL 1")</f>
        <v>REGIONAL 1</v>
      </c>
      <c r="C32" s="11" t="str">
        <f>IFERROR(__xludf.dummyfunction("""COMPUTED_VALUE"""),"24/02/2026 10:47:32")</f>
        <v>24/02/2026 10:47:32</v>
      </c>
      <c r="D32" s="11" t="str">
        <f>IFERROR(__xludf.dummyfunction("""COMPUTED_VALUE"""),"3")</f>
        <v>3</v>
      </c>
      <c r="E32" s="11" t="str">
        <f>IFERROR(__xludf.dummyfunction("""COMPUTED_VALUE"""),"M. H. D. S. M")</f>
        <v>M. H. D. S. M</v>
      </c>
      <c r="F32" s="11" t="str">
        <f>IFERROR(__xludf.dummyfunction("""COMPUTED_VALUE"""),"17/08/2024")</f>
        <v>17/08/2024</v>
      </c>
      <c r="G32" s="11" t="str">
        <f>IFERROR(__xludf.dummyfunction("""COMPUTED_VALUE"""),"003******21")</f>
        <v>003******21</v>
      </c>
      <c r="H32" s="11" t="str">
        <f>IFERROR(__xludf.dummyfunction("""COMPUTED_VALUE"""),"INFANTIL 1")</f>
        <v>INFANTIL 1</v>
      </c>
      <c r="I32" s="12" t="str">
        <f>IFERROR(__xludf.dummyfunction("""COMPUTED_VALUE"""),"CRECHE MUNICIPAL PROFESSORA MARIA RITA LINS MARTINS")</f>
        <v>CRECHE MUNICIPAL PROFESSORA MARIA RITA LINS MARTINS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Height="1" spans="1:26">
      <c r="A33" s="3"/>
      <c r="B33" s="11" t="str">
        <f>IFERROR(__xludf.dummyfunction("""COMPUTED_VALUE"""),"REGIONAL 1")</f>
        <v>REGIONAL 1</v>
      </c>
      <c r="C33" s="11" t="str">
        <f>IFERROR(__xludf.dummyfunction("""COMPUTED_VALUE"""),"10/05/2026 13:51:20")</f>
        <v>10/05/2026 13:51:20</v>
      </c>
      <c r="D33" s="11" t="str">
        <f>IFERROR(__xludf.dummyfunction("""COMPUTED_VALUE"""),"4")</f>
        <v>4</v>
      </c>
      <c r="E33" s="11" t="str">
        <f>IFERROR(__xludf.dummyfunction("""COMPUTED_VALUE"""),"L. M. D. S")</f>
        <v>L. M. D. S</v>
      </c>
      <c r="F33" s="11" t="str">
        <f>IFERROR(__xludf.dummyfunction("""COMPUTED_VALUE"""),"21/03/2025")</f>
        <v>21/03/2025</v>
      </c>
      <c r="G33" s="11" t="str">
        <f>IFERROR(__xludf.dummyfunction("""COMPUTED_VALUE"""),"007******01")</f>
        <v>007******01</v>
      </c>
      <c r="H33" s="11" t="str">
        <f>IFERROR(__xludf.dummyfunction("""COMPUTED_VALUE"""),"INFANTIL 1")</f>
        <v>INFANTIL 1</v>
      </c>
      <c r="I33" s="12" t="str">
        <f>IFERROR(__xludf.dummyfunction("""COMPUTED_VALUE"""),"CRECHE MUNICIPAL PROFESSORA MARIA RITA LINS MARTINS")</f>
        <v>CRECHE MUNICIPAL PROFESSORA MARIA RITA LINS MARTINS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Height="1" spans="1:26">
      <c r="A34" s="3"/>
      <c r="B34" s="11" t="str">
        <f>IFERROR(__xludf.dummyfunction("""COMPUTED_VALUE"""),"REGIONAL 1")</f>
        <v>REGIONAL 1</v>
      </c>
      <c r="C34" s="11" t="str">
        <f>IFERROR(__xludf.dummyfunction("""COMPUTED_VALUE"""),"14/06/2026 18:20:08")</f>
        <v>14/06/2026 18:20:08</v>
      </c>
      <c r="D34" s="11" t="str">
        <f>IFERROR(__xludf.dummyfunction("""COMPUTED_VALUE"""),"5")</f>
        <v>5</v>
      </c>
      <c r="E34" s="11" t="str">
        <f>IFERROR(__xludf.dummyfunction("""COMPUTED_VALUE"""),"A. G. d. S")</f>
        <v>A. G. d. S</v>
      </c>
      <c r="F34" s="11" t="str">
        <f>IFERROR(__xludf.dummyfunction("""COMPUTED_VALUE"""),"31/05/2024")</f>
        <v>31/05/2024</v>
      </c>
      <c r="G34" s="11" t="str">
        <f>IFERROR(__xludf.dummyfunction("""COMPUTED_VALUE"""),"003******86")</f>
        <v>003******86</v>
      </c>
      <c r="H34" s="11" t="str">
        <f>IFERROR(__xludf.dummyfunction("""COMPUTED_VALUE"""),"INFANTIL 1")</f>
        <v>INFANTIL 1</v>
      </c>
      <c r="I34" s="12" t="str">
        <f>IFERROR(__xludf.dummyfunction("""COMPUTED_VALUE"""),"CRECHE MUNICIPAL PROFESSORA MARIA RITA LINS MARTINS")</f>
        <v>CRECHE MUNICIPAL PROFESSORA MARIA RITA LINS MARTINS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Height="1" spans="1:26">
      <c r="A35" s="3"/>
      <c r="B35" s="11" t="str">
        <f>IFERROR(__xludf.dummyfunction("""COMPUTED_VALUE"""),"REGIONAL 1")</f>
        <v>REGIONAL 1</v>
      </c>
      <c r="C35" s="11" t="str">
        <f>IFERROR(__xludf.dummyfunction("""COMPUTED_VALUE"""),"25/06/2026 18:16:16")</f>
        <v>25/06/2026 18:16:16</v>
      </c>
      <c r="D35" s="11" t="str">
        <f>IFERROR(__xludf.dummyfunction("""COMPUTED_VALUE"""),"6")</f>
        <v>6</v>
      </c>
      <c r="E35" s="11" t="str">
        <f>IFERROR(__xludf.dummyfunction("""COMPUTED_VALUE"""),"J. M. R. s")</f>
        <v>J. M. R. s</v>
      </c>
      <c r="F35" s="11" t="str">
        <f>IFERROR(__xludf.dummyfunction("""COMPUTED_VALUE"""),"14/12/2024")</f>
        <v>14/12/2024</v>
      </c>
      <c r="G35" s="11" t="str">
        <f>IFERROR(__xludf.dummyfunction("""COMPUTED_VALUE"""),"004******73")</f>
        <v>004******73</v>
      </c>
      <c r="H35" s="11" t="str">
        <f>IFERROR(__xludf.dummyfunction("""COMPUTED_VALUE"""),"INFANTIL 1")</f>
        <v>INFANTIL 1</v>
      </c>
      <c r="I35" s="12" t="str">
        <f>IFERROR(__xludf.dummyfunction("""COMPUTED_VALUE"""),"CRECHE MUNICIPAL PROFESSORA MARIA RITA LINS MARTINS")</f>
        <v>CRECHE MUNICIPAL PROFESSORA MARIA RITA LINS MARTINS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spans="1:26">
      <c r="A36" s="3"/>
      <c r="B36" s="11" t="str">
        <f>IFERROR(__xludf.dummyfunction("""COMPUTED_VALUE"""),"REGIONAL 1")</f>
        <v>REGIONAL 1</v>
      </c>
      <c r="C36" s="11" t="str">
        <f>IFERROR(__xludf.dummyfunction("""COMPUTED_VALUE"""),"29/06/2026 11:34:07")</f>
        <v>29/06/2026 11:34:07</v>
      </c>
      <c r="D36" s="11" t="str">
        <f>IFERROR(__xludf.dummyfunction("""COMPUTED_VALUE"""),"7")</f>
        <v>7</v>
      </c>
      <c r="E36" s="11" t="str">
        <f>IFERROR(__xludf.dummyfunction("""COMPUTED_VALUE"""),"H. S. C. s")</f>
        <v>H. S. C. s</v>
      </c>
      <c r="F36" s="11" t="str">
        <f>IFERROR(__xludf.dummyfunction("""COMPUTED_VALUE"""),"24/09/2025")</f>
        <v>24/09/2025</v>
      </c>
      <c r="G36" s="11" t="str">
        <f>IFERROR(__xludf.dummyfunction("""COMPUTED_VALUE"""),"011******15")</f>
        <v>011******15</v>
      </c>
      <c r="H36" s="11" t="str">
        <f>IFERROR(__xludf.dummyfunction("""COMPUTED_VALUE"""),"INFANTIL 1")</f>
        <v>INFANTIL 1</v>
      </c>
      <c r="I36" s="12" t="str">
        <f>IFERROR(__xludf.dummyfunction("""COMPUTED_VALUE"""),"CRECHE MUNICIPAL PROFESSORA MARIA RITA LINS MARTINS")</f>
        <v>CRECHE MUNICIPAL PROFESSORA MARIA RITA LINS MARTINS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Height="1" spans="1:26">
      <c r="A37" s="3"/>
      <c r="B37" s="11" t="str">
        <f>IFERROR(__xludf.dummyfunction("""COMPUTED_VALUE"""),"REGIONAL 1")</f>
        <v>REGIONAL 1</v>
      </c>
      <c r="C37" s="11" t="str">
        <f>IFERROR(__xludf.dummyfunction("""COMPUTED_VALUE"""),"21/08/2026 12:22:12")</f>
        <v>21/08/2026 12:22:12</v>
      </c>
      <c r="D37" s="11" t="str">
        <f>IFERROR(__xludf.dummyfunction("""COMPUTED_VALUE"""),"8")</f>
        <v>8</v>
      </c>
      <c r="E37" s="11" t="str">
        <f>IFERROR(__xludf.dummyfunction("""COMPUTED_VALUE"""),"M. A. F. M. C")</f>
        <v>M. A. F. M. C</v>
      </c>
      <c r="F37" s="11" t="str">
        <f>IFERROR(__xludf.dummyfunction("""COMPUTED_VALUE"""),"11/04/2025")</f>
        <v>11/04/2025</v>
      </c>
      <c r="G37" s="11" t="str">
        <f>IFERROR(__xludf.dummyfunction("""COMPUTED_VALUE"""),"007******01")</f>
        <v>007******01</v>
      </c>
      <c r="H37" s="11" t="str">
        <f>IFERROR(__xludf.dummyfunction("""COMPUTED_VALUE"""),"INFANTIL 1")</f>
        <v>INFANTIL 1</v>
      </c>
      <c r="I37" s="12" t="str">
        <f>IFERROR(__xludf.dummyfunction("""COMPUTED_VALUE"""),"CRECHE MUNICIPAL PROFESSORA MARIA RITA LINS MARTINS")</f>
        <v>CRECHE MUNICIPAL PROFESSORA MARIA RITA LINS MARTINS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Height="1" spans="1:26">
      <c r="A38" s="3"/>
      <c r="B38" s="11" t="str">
        <f>IFERROR(__xludf.dummyfunction("""COMPUTED_VALUE"""),"REGIONAL 1")</f>
        <v>REGIONAL 1</v>
      </c>
      <c r="C38" s="11" t="str">
        <f>IFERROR(__xludf.dummyfunction("""COMPUTED_VALUE"""),"31/08/2026 22:56:10")</f>
        <v>31/08/2026 22:56:10</v>
      </c>
      <c r="D38" s="11" t="str">
        <f>IFERROR(__xludf.dummyfunction("""COMPUTED_VALUE"""),"9")</f>
        <v>9</v>
      </c>
      <c r="E38" s="11" t="str">
        <f>IFERROR(__xludf.dummyfunction("""COMPUTED_VALUE"""),"A. D. d. S. T")</f>
        <v>A. D. d. S. T</v>
      </c>
      <c r="F38" s="11" t="str">
        <f>IFERROR(__xludf.dummyfunction("""COMPUTED_VALUE"""),"26/08/2024")</f>
        <v>26/08/2024</v>
      </c>
      <c r="G38" s="11" t="str">
        <f>IFERROR(__xludf.dummyfunction("""COMPUTED_VALUE"""),"003******33")</f>
        <v>003******33</v>
      </c>
      <c r="H38" s="11" t="str">
        <f>IFERROR(__xludf.dummyfunction("""COMPUTED_VALUE"""),"INFANTIL 1")</f>
        <v>INFANTIL 1</v>
      </c>
      <c r="I38" s="12" t="str">
        <f>IFERROR(__xludf.dummyfunction("""COMPUTED_VALUE"""),"CRECHE MUNICIPAL PROFESSORA MARIA RITA LINS MARTINS")</f>
        <v>CRECHE MUNICIPAL PROFESSORA MARIA RITA LINS MARTINS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Height="1" spans="1:26">
      <c r="A39" s="3"/>
      <c r="B39" s="11" t="str">
        <f>IFERROR(__xludf.dummyfunction("""COMPUTED_VALUE"""),"REGIONAL 1")</f>
        <v>REGIONAL 1</v>
      </c>
      <c r="C39" s="11" t="str">
        <f>IFERROR(__xludf.dummyfunction("""COMPUTED_VALUE"""),"30/01/2026 13:46:37")</f>
        <v>30/01/2026 13:46:37</v>
      </c>
      <c r="D39" s="11" t="str">
        <f>IFERROR(__xludf.dummyfunction("""COMPUTED_VALUE"""),"1")</f>
        <v>1</v>
      </c>
      <c r="E39" s="11" t="str">
        <f>IFERROR(__xludf.dummyfunction("""COMPUTED_VALUE"""),"L. M. D. S. P")</f>
        <v>L. M. D. S. P</v>
      </c>
      <c r="F39" s="11" t="str">
        <f>IFERROR(__xludf.dummyfunction("""COMPUTED_VALUE"""),"24/01/2024")</f>
        <v>24/01/2024</v>
      </c>
      <c r="G39" s="11" t="str">
        <f>IFERROR(__xludf.dummyfunction("""COMPUTED_VALUE"""),"001******95")</f>
        <v>001******95</v>
      </c>
      <c r="H39" s="11" t="str">
        <f>IFERROR(__xludf.dummyfunction("""COMPUTED_VALUE"""),"INFANTIL 2")</f>
        <v>INFANTIL 2</v>
      </c>
      <c r="I39" s="12" t="str">
        <f>IFERROR(__xludf.dummyfunction("""COMPUTED_VALUE"""),"CRECHE MUNICIPAL PROFESSORA MARIA RITA LINS MARTINS")</f>
        <v>CRECHE MUNICIPAL PROFESSORA MARIA RITA LINS MARTINS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Height="1" spans="1:26">
      <c r="A40" s="3"/>
      <c r="B40" s="11" t="str">
        <f>IFERROR(__xludf.dummyfunction("""COMPUTED_VALUE"""),"REGIONAL 1")</f>
        <v>REGIONAL 1</v>
      </c>
      <c r="C40" s="11" t="str">
        <f>IFERROR(__xludf.dummyfunction("""COMPUTED_VALUE"""),"08/03/2026 00:13:08")</f>
        <v>08/03/2026 00:13:08</v>
      </c>
      <c r="D40" s="11" t="str">
        <f>IFERROR(__xludf.dummyfunction("""COMPUTED_VALUE"""),"2")</f>
        <v>2</v>
      </c>
      <c r="E40" s="11" t="str">
        <f>IFERROR(__xludf.dummyfunction("""COMPUTED_VALUE"""),"H. G. S. G. D. S")</f>
        <v>H. G. S. G. D. S</v>
      </c>
      <c r="F40" s="11" t="str">
        <f>IFERROR(__xludf.dummyfunction("""COMPUTED_VALUE"""),"19/07/2023")</f>
        <v>19/07/2023</v>
      </c>
      <c r="G40" s="11" t="str">
        <f>IFERROR(__xludf.dummyfunction("""COMPUTED_VALUE"""),"186******81")</f>
        <v>186******81</v>
      </c>
      <c r="H40" s="11" t="str">
        <f>IFERROR(__xludf.dummyfunction("""COMPUTED_VALUE"""),"INFANTIL 2")</f>
        <v>INFANTIL 2</v>
      </c>
      <c r="I40" s="12" t="str">
        <f>IFERROR(__xludf.dummyfunction("""COMPUTED_VALUE"""),"CRECHE MUNICIPAL PROFESSORA MARIA RITA LINS MARTINS")</f>
        <v>CRECHE MUNICIPAL PROFESSORA MARIA RITA LINS MARTINS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Height="1" spans="1:26">
      <c r="A41" s="3"/>
      <c r="B41" s="11" t="str">
        <f>IFERROR(__xludf.dummyfunction("""COMPUTED_VALUE"""),"REGIONAL 1")</f>
        <v>REGIONAL 1</v>
      </c>
      <c r="C41" s="11" t="str">
        <f>IFERROR(__xludf.dummyfunction("""COMPUTED_VALUE"""),"11/03/2026 10:30:16")</f>
        <v>11/03/2026 10:30:16</v>
      </c>
      <c r="D41" s="11" t="str">
        <f>IFERROR(__xludf.dummyfunction("""COMPUTED_VALUE"""),"3")</f>
        <v>3</v>
      </c>
      <c r="E41" s="11" t="str">
        <f>IFERROR(__xludf.dummyfunction("""COMPUTED_VALUE"""),"L. S. P")</f>
        <v>L. S. P</v>
      </c>
      <c r="F41" s="11" t="str">
        <f>IFERROR(__xludf.dummyfunction("""COMPUTED_VALUE"""),"11/12/2023")</f>
        <v>11/12/2023</v>
      </c>
      <c r="G41" s="11" t="str">
        <f>IFERROR(__xludf.dummyfunction("""COMPUTED_VALUE"""),"001******48")</f>
        <v>001******48</v>
      </c>
      <c r="H41" s="11" t="str">
        <f>IFERROR(__xludf.dummyfunction("""COMPUTED_VALUE"""),"INFANTIL 2")</f>
        <v>INFANTIL 2</v>
      </c>
      <c r="I41" s="12" t="str">
        <f>IFERROR(__xludf.dummyfunction("""COMPUTED_VALUE"""),"CRECHE MUNICIPAL PROFESSORA MARIA RITA LINS MARTINS")</f>
        <v>CRECHE MUNICIPAL PROFESSORA MARIA RITA LINS MARTINS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Height="1" spans="1:26">
      <c r="A42" s="3"/>
      <c r="B42" s="11" t="str">
        <f>IFERROR(__xludf.dummyfunction("""COMPUTED_VALUE"""),"REGIONAL 1")</f>
        <v>REGIONAL 1</v>
      </c>
      <c r="C42" s="11" t="str">
        <f>IFERROR(__xludf.dummyfunction("""COMPUTED_VALUE"""),"17/03/2026 08:58:14")</f>
        <v>17/03/2026 08:58:14</v>
      </c>
      <c r="D42" s="11" t="str">
        <f>IFERROR(__xludf.dummyfunction("""COMPUTED_VALUE"""),"4")</f>
        <v>4</v>
      </c>
      <c r="E42" s="11" t="str">
        <f>IFERROR(__xludf.dummyfunction("""COMPUTED_VALUE"""),"L. R. D. L")</f>
        <v>L. R. D. L</v>
      </c>
      <c r="F42" s="11" t="str">
        <f>IFERROR(__xludf.dummyfunction("""COMPUTED_VALUE"""),"09/03/2024")</f>
        <v>09/03/2024</v>
      </c>
      <c r="G42" s="11" t="str">
        <f>IFERROR(__xludf.dummyfunction("""COMPUTED_VALUE"""),"001******96")</f>
        <v>001******96</v>
      </c>
      <c r="H42" s="11" t="str">
        <f>IFERROR(__xludf.dummyfunction("""COMPUTED_VALUE"""),"INFANTIL 2")</f>
        <v>INFANTIL 2</v>
      </c>
      <c r="I42" s="12" t="str">
        <f>IFERROR(__xludf.dummyfunction("""COMPUTED_VALUE"""),"CRECHE MUNICIPAL PROFESSORA MARIA RITA LINS MARTINS")</f>
        <v>CRECHE MUNICIPAL PROFESSORA MARIA RITA LINS MARTINS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Height="1" spans="1:26">
      <c r="A43" s="3"/>
      <c r="B43" s="11" t="str">
        <f>IFERROR(__xludf.dummyfunction("""COMPUTED_VALUE"""),"REGIONAL 1")</f>
        <v>REGIONAL 1</v>
      </c>
      <c r="C43" s="11" t="str">
        <f>IFERROR(__xludf.dummyfunction("""COMPUTED_VALUE"""),"16/04/2026 17:20:01")</f>
        <v>16/04/2026 17:20:01</v>
      </c>
      <c r="D43" s="11" t="str">
        <f>IFERROR(__xludf.dummyfunction("""COMPUTED_VALUE"""),"5")</f>
        <v>5</v>
      </c>
      <c r="E43" s="11" t="str">
        <f>IFERROR(__xludf.dummyfunction("""COMPUTED_VALUE"""),"M. C. D. S. C. M")</f>
        <v>M. C. D. S. C. M</v>
      </c>
      <c r="F43" s="11" t="str">
        <f>IFERROR(__xludf.dummyfunction("""COMPUTED_VALUE"""),"17/04/2023")</f>
        <v>17/04/2023</v>
      </c>
      <c r="G43" s="11" t="str">
        <f>IFERROR(__xludf.dummyfunction("""COMPUTED_VALUE"""),"185******46")</f>
        <v>185******46</v>
      </c>
      <c r="H43" s="11" t="str">
        <f>IFERROR(__xludf.dummyfunction("""COMPUTED_VALUE"""),"INFANTIL 2")</f>
        <v>INFANTIL 2</v>
      </c>
      <c r="I43" s="12" t="str">
        <f>IFERROR(__xludf.dummyfunction("""COMPUTED_VALUE"""),"CRECHE MUNICIPAL PROFESSORA MARIA RITA LINS MARTINS")</f>
        <v>CRECHE MUNICIPAL PROFESSORA MARIA RITA LINS MARTINS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Height="1" spans="1:26">
      <c r="A44" s="3"/>
      <c r="B44" s="11" t="str">
        <f>IFERROR(__xludf.dummyfunction("""COMPUTED_VALUE"""),"REGIONAL 1")</f>
        <v>REGIONAL 1</v>
      </c>
      <c r="C44" s="11" t="str">
        <f>IFERROR(__xludf.dummyfunction("""COMPUTED_VALUE"""),"13/05/2026 08:10:15")</f>
        <v>13/05/2026 08:10:15</v>
      </c>
      <c r="D44" s="11" t="str">
        <f>IFERROR(__xludf.dummyfunction("""COMPUTED_VALUE"""),"6")</f>
        <v>6</v>
      </c>
      <c r="E44" s="11" t="str">
        <f>IFERROR(__xludf.dummyfunction("""COMPUTED_VALUE"""),"T. M. O. D. S")</f>
        <v>T. M. O. D. S</v>
      </c>
      <c r="F44" s="11" t="str">
        <f>IFERROR(__xludf.dummyfunction("""COMPUTED_VALUE"""),"16/08/2023")</f>
        <v>16/08/2023</v>
      </c>
      <c r="G44" s="11" t="str">
        <f>IFERROR(__xludf.dummyfunction("""COMPUTED_VALUE"""),"186******46")</f>
        <v>186******46</v>
      </c>
      <c r="H44" s="11" t="str">
        <f>IFERROR(__xludf.dummyfunction("""COMPUTED_VALUE"""),"INFANTIL 2")</f>
        <v>INFANTIL 2</v>
      </c>
      <c r="I44" s="12" t="str">
        <f>IFERROR(__xludf.dummyfunction("""COMPUTED_VALUE"""),"CRECHE MUNICIPAL PROFESSORA MARIA RITA LINS MARTINS")</f>
        <v>CRECHE MUNICIPAL PROFESSORA MARIA RITA LINS MARTINS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Height="1" spans="1:26">
      <c r="A45" s="3"/>
      <c r="B45" s="11" t="str">
        <f>IFERROR(__xludf.dummyfunction("""COMPUTED_VALUE"""),"REGIONAL 1")</f>
        <v>REGIONAL 1</v>
      </c>
      <c r="C45" s="11" t="str">
        <f>IFERROR(__xludf.dummyfunction("""COMPUTED_VALUE"""),"16/04/2026 17:16:18")</f>
        <v>16/04/2026 17:16:18</v>
      </c>
      <c r="D45" s="11" t="str">
        <f>IFERROR(__xludf.dummyfunction("""COMPUTED_VALUE"""),"1")</f>
        <v>1</v>
      </c>
      <c r="E45" s="11" t="str">
        <f>IFERROR(__xludf.dummyfunction("""COMPUTED_VALUE"""),"M. G. D. S. C. M")</f>
        <v>M. G. D. S. C. M</v>
      </c>
      <c r="F45" s="11" t="str">
        <f>IFERROR(__xludf.dummyfunction("""COMPUTED_VALUE"""),"11/04/2022")</f>
        <v>11/04/2022</v>
      </c>
      <c r="G45" s="11" t="str">
        <f>IFERROR(__xludf.dummyfunction("""COMPUTED_VALUE"""),"181******09")</f>
        <v>181******09</v>
      </c>
      <c r="H45" s="11" t="str">
        <f>IFERROR(__xludf.dummyfunction("""COMPUTED_VALUE"""),"INFANTIL 3")</f>
        <v>INFANTIL 3</v>
      </c>
      <c r="I45" s="12" t="str">
        <f>IFERROR(__xludf.dummyfunction("""COMPUTED_VALUE"""),"CRECHE MUNICIPAL PROFESSORA MARIA RITA LINS MARTINS")</f>
        <v>CRECHE MUNICIPAL PROFESSORA MARIA RITA LINS MARTINS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Height="1" spans="1:26">
      <c r="A46" s="3"/>
      <c r="B46" s="11" t="str">
        <f>IFERROR(__xludf.dummyfunction("""COMPUTED_VALUE"""),"REGIONAL 1")</f>
        <v>REGIONAL 1</v>
      </c>
      <c r="C46" s="11" t="str">
        <f>IFERROR(__xludf.dummyfunction("""COMPUTED_VALUE"""),"10/05/2026 13:58:19")</f>
        <v>10/05/2026 13:58:19</v>
      </c>
      <c r="D46" s="11" t="str">
        <f>IFERROR(__xludf.dummyfunction("""COMPUTED_VALUE"""),"2")</f>
        <v>2</v>
      </c>
      <c r="E46" s="11" t="str">
        <f>IFERROR(__xludf.dummyfunction("""COMPUTED_VALUE"""),"D. E. D. M")</f>
        <v>D. E. D. M</v>
      </c>
      <c r="F46" s="11" t="str">
        <f>IFERROR(__xludf.dummyfunction("""COMPUTED_VALUE"""),"07/01/2023")</f>
        <v>07/01/2023</v>
      </c>
      <c r="G46" s="11" t="str">
        <f>IFERROR(__xludf.dummyfunction("""COMPUTED_VALUE"""),"184******52")</f>
        <v>184******52</v>
      </c>
      <c r="H46" s="11" t="str">
        <f>IFERROR(__xludf.dummyfunction("""COMPUTED_VALUE"""),"INFANTIL 3")</f>
        <v>INFANTIL 3</v>
      </c>
      <c r="I46" s="12" t="str">
        <f>IFERROR(__xludf.dummyfunction("""COMPUTED_VALUE"""),"CRECHE MUNICIPAL PROFESSORA MARIA RITA LINS MARTINS")</f>
        <v>CRECHE MUNICIPAL PROFESSORA MARIA RITA LINS MARTINS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Height="1" spans="1:26">
      <c r="A47" s="3"/>
      <c r="B47" s="11" t="str">
        <f>IFERROR(__xludf.dummyfunction("""COMPUTED_VALUE"""),"REGIONAL 1")</f>
        <v>REGIONAL 1</v>
      </c>
      <c r="C47" s="11" t="str">
        <f>IFERROR(__xludf.dummyfunction("""COMPUTED_VALUE"""),"15/06/2026 14:59:35")</f>
        <v>15/06/2026 14:59:35</v>
      </c>
      <c r="D47" s="11" t="str">
        <f>IFERROR(__xludf.dummyfunction("""COMPUTED_VALUE"""),"3")</f>
        <v>3</v>
      </c>
      <c r="E47" s="11" t="str">
        <f>IFERROR(__xludf.dummyfunction("""COMPUTED_VALUE"""),"Y. L. S. D. C")</f>
        <v>Y. L. S. D. C</v>
      </c>
      <c r="F47" s="11" t="str">
        <f>IFERROR(__xludf.dummyfunction("""COMPUTED_VALUE"""),"05/06/2022")</f>
        <v>05/06/2022</v>
      </c>
      <c r="G47" s="11" t="str">
        <f>IFERROR(__xludf.dummyfunction("""COMPUTED_VALUE"""),"182******93")</f>
        <v>182******93</v>
      </c>
      <c r="H47" s="11" t="str">
        <f>IFERROR(__xludf.dummyfunction("""COMPUTED_VALUE"""),"INFANTIL 3")</f>
        <v>INFANTIL 3</v>
      </c>
      <c r="I47" s="12" t="str">
        <f>IFERROR(__xludf.dummyfunction("""COMPUTED_VALUE"""),"CRECHE MUNICIPAL PROFESSORA MARIA RITA LINS MARTINS")</f>
        <v>CRECHE MUNICIPAL PROFESSORA MARIA RITA LINS MARTINS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Height="1" spans="1:26">
      <c r="A48" s="3"/>
      <c r="B48" s="11" t="str">
        <f>IFERROR(__xludf.dummyfunction("""COMPUTED_VALUE"""),"REGIONAL 2")</f>
        <v>REGIONAL 2</v>
      </c>
      <c r="C48" s="11" t="str">
        <f>IFERROR(__xludf.dummyfunction("""COMPUTED_VALUE"""),"24/07/2026 16:57:07")</f>
        <v>24/07/2026 16:57:07</v>
      </c>
      <c r="D48" s="11" t="str">
        <f>IFERROR(__xludf.dummyfunction("""COMPUTED_VALUE"""),"2")</f>
        <v>2</v>
      </c>
      <c r="E48" s="11" t="str">
        <f>IFERROR(__xludf.dummyfunction("""COMPUTED_VALUE"""),"I. l. M. d. N")</f>
        <v>I. l. M. d. N</v>
      </c>
      <c r="F48" s="11" t="str">
        <f>IFERROR(__xludf.dummyfunction("""COMPUTED_VALUE"""),"11/12/2023")</f>
        <v>11/12/2023</v>
      </c>
      <c r="G48" s="11" t="str">
        <f>IFERROR(__xludf.dummyfunction("""COMPUTED_VALUE"""),"001******69")</f>
        <v>001******69</v>
      </c>
      <c r="H48" s="11" t="str">
        <f>IFERROR(__xludf.dummyfunction("""COMPUTED_VALUE"""),"INFANTIL 2")</f>
        <v>INFANTIL 2</v>
      </c>
      <c r="I48" s="12" t="str">
        <f>IFERROR(__xludf.dummyfunction("""COMPUTED_VALUE"""),"CEMEI LUIZ FERNANDO DE CARVALHO ARCOVERDE")</f>
        <v>CEMEI LUIZ FERNANDO DE CARVALHO ARCOVERDE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Height="1" spans="1:26">
      <c r="A49" s="3"/>
      <c r="B49" s="11" t="str">
        <f>IFERROR(__xludf.dummyfunction("""COMPUTED_VALUE"""),"REGIONAL 2")</f>
        <v>REGIONAL 2</v>
      </c>
      <c r="C49" s="11" t="str">
        <f>IFERROR(__xludf.dummyfunction("""COMPUTED_VALUE"""),"25/02/2026 12:49:56")</f>
        <v>25/02/2026 12:49:56</v>
      </c>
      <c r="D49" s="11" t="str">
        <f>IFERROR(__xludf.dummyfunction("""COMPUTED_VALUE"""),"1")</f>
        <v>1</v>
      </c>
      <c r="E49" s="11" t="str">
        <f>IFERROR(__xludf.dummyfunction("""COMPUTED_VALUE"""),"C")</f>
        <v>C</v>
      </c>
      <c r="F49" s="11" t="str">
        <f>IFERROR(__xludf.dummyfunction("""COMPUTED_VALUE"""),"03/07/2025")</f>
        <v>03/07/2025</v>
      </c>
      <c r="G49" s="11" t="str">
        <f>IFERROR(__xludf.dummyfunction("""COMPUTED_VALUE"""),"006******51")</f>
        <v>006******51</v>
      </c>
      <c r="H49" s="11" t="str">
        <f>IFERROR(__xludf.dummyfunction("""COMPUTED_VALUE"""),"INFANTIL 1")</f>
        <v>INFANTIL 1</v>
      </c>
      <c r="I49" s="12" t="str">
        <f>IFERROR(__xludf.dummyfunction("""COMPUTED_VALUE"""),"CRECHE ALAYDE MARIA DA CONCEICAO")</f>
        <v>CRECHE ALAYDE MARIA DA CONCEICAO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Height="1" spans="1:26">
      <c r="A50" s="3"/>
      <c r="B50" s="11" t="str">
        <f>IFERROR(__xludf.dummyfunction("""COMPUTED_VALUE"""),"REGIONAL 2")</f>
        <v>REGIONAL 2</v>
      </c>
      <c r="C50" s="11" t="str">
        <f>IFERROR(__xludf.dummyfunction("""COMPUTED_VALUE"""),"25/03/2026 16:34:54")</f>
        <v>25/03/2026 16:34:54</v>
      </c>
      <c r="D50" s="11" t="str">
        <f>IFERROR(__xludf.dummyfunction("""COMPUTED_VALUE"""),"2")</f>
        <v>2</v>
      </c>
      <c r="E50" s="11" t="str">
        <f>IFERROR(__xludf.dummyfunction("""COMPUTED_VALUE"""),"D. A. D. S")</f>
        <v>D. A. D. S</v>
      </c>
      <c r="F50" s="11" t="str">
        <f>IFERROR(__xludf.dummyfunction("""COMPUTED_VALUE"""),"27/05/2025")</f>
        <v>27/05/2025</v>
      </c>
      <c r="G50" s="11" t="str">
        <f>IFERROR(__xludf.dummyfunction("""COMPUTED_VALUE"""),"003******10")</f>
        <v>003******10</v>
      </c>
      <c r="H50" s="11" t="str">
        <f>IFERROR(__xludf.dummyfunction("""COMPUTED_VALUE"""),"INFANTIL 1")</f>
        <v>INFANTIL 1</v>
      </c>
      <c r="I50" s="12" t="str">
        <f>IFERROR(__xludf.dummyfunction("""COMPUTED_VALUE"""),"CRECHE ALAYDE MARIA DA CONCEICAO")</f>
        <v>CRECHE ALAYDE MARIA DA CONCEICAO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Height="1" spans="1:26">
      <c r="A51" s="3"/>
      <c r="B51" s="11" t="str">
        <f>IFERROR(__xludf.dummyfunction("""COMPUTED_VALUE"""),"REGIONAL 2")</f>
        <v>REGIONAL 2</v>
      </c>
      <c r="C51" s="11" t="str">
        <f>IFERROR(__xludf.dummyfunction("""COMPUTED_VALUE"""),"18/06/2026 11:42:52")</f>
        <v>18/06/2026 11:42:52</v>
      </c>
      <c r="D51" s="11" t="str">
        <f>IFERROR(__xludf.dummyfunction("""COMPUTED_VALUE"""),"3")</f>
        <v>3</v>
      </c>
      <c r="E51" s="11" t="str">
        <f>IFERROR(__xludf.dummyfunction("""COMPUTED_VALUE"""),"H. S. S. d. S")</f>
        <v>H. S. S. d. S</v>
      </c>
      <c r="F51" s="11" t="str">
        <f>IFERROR(__xludf.dummyfunction("""COMPUTED_VALUE"""),"04/04/2025")</f>
        <v>04/04/2025</v>
      </c>
      <c r="G51" s="11" t="str">
        <f>IFERROR(__xludf.dummyfunction("""COMPUTED_VALUE"""),"005******23")</f>
        <v>005******23</v>
      </c>
      <c r="H51" s="11" t="str">
        <f>IFERROR(__xludf.dummyfunction("""COMPUTED_VALUE"""),"INFANTIL 1")</f>
        <v>INFANTIL 1</v>
      </c>
      <c r="I51" s="12" t="str">
        <f>IFERROR(__xludf.dummyfunction("""COMPUTED_VALUE"""),"CRECHE ALAYDE MARIA DA CONCEICAO")</f>
        <v>CRECHE ALAYDE MARIA DA CONCEICAO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Height="1" spans="1:26">
      <c r="A52" s="3"/>
      <c r="B52" s="11" t="str">
        <f>IFERROR(__xludf.dummyfunction("""COMPUTED_VALUE"""),"REGIONAL 2")</f>
        <v>REGIONAL 2</v>
      </c>
      <c r="C52" s="11" t="str">
        <f>IFERROR(__xludf.dummyfunction("""COMPUTED_VALUE"""),"23/06/2026 08:34:26")</f>
        <v>23/06/2026 08:34:26</v>
      </c>
      <c r="D52" s="11" t="str">
        <f>IFERROR(__xludf.dummyfunction("""COMPUTED_VALUE"""),"4")</f>
        <v>4</v>
      </c>
      <c r="E52" s="11" t="str">
        <f>IFERROR(__xludf.dummyfunction("""COMPUTED_VALUE"""),"E. S. p. d. O")</f>
        <v>E. S. p. d. O</v>
      </c>
      <c r="F52" s="11" t="str">
        <f>IFERROR(__xludf.dummyfunction("""COMPUTED_VALUE"""),"08/07/2024")</f>
        <v>08/07/2024</v>
      </c>
      <c r="G52" s="11" t="str">
        <f>IFERROR(__xludf.dummyfunction("""COMPUTED_VALUE"""),"003******67")</f>
        <v>003******67</v>
      </c>
      <c r="H52" s="11" t="str">
        <f>IFERROR(__xludf.dummyfunction("""COMPUTED_VALUE"""),"INFANTIL 1")</f>
        <v>INFANTIL 1</v>
      </c>
      <c r="I52" s="12" t="str">
        <f>IFERROR(__xludf.dummyfunction("""COMPUTED_VALUE"""),"CRECHE ALAYDE MARIA DA CONCEICAO")</f>
        <v>CRECHE ALAYDE MARIA DA CONCEICAO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Height="1" spans="1:26">
      <c r="A53" s="3"/>
      <c r="B53" s="11" t="str">
        <f>IFERROR(__xludf.dummyfunction("""COMPUTED_VALUE"""),"REGIONAL 2")</f>
        <v>REGIONAL 2</v>
      </c>
      <c r="C53" s="11" t="str">
        <f>IFERROR(__xludf.dummyfunction("""COMPUTED_VALUE"""),"04/08/2026 21:58:49")</f>
        <v>04/08/2026 21:58:49</v>
      </c>
      <c r="D53" s="11" t="str">
        <f>IFERROR(__xludf.dummyfunction("""COMPUTED_VALUE"""),"5")</f>
        <v>5</v>
      </c>
      <c r="E53" s="11" t="str">
        <f>IFERROR(__xludf.dummyfunction("""COMPUTED_VALUE"""),"V. R. d. S. C")</f>
        <v>V. R. d. S. C</v>
      </c>
      <c r="F53" s="11" t="str">
        <f>IFERROR(__xludf.dummyfunction("""COMPUTED_VALUE"""),"28/02/2025")</f>
        <v>28/02/2025</v>
      </c>
      <c r="G53" s="11" t="str">
        <f>IFERROR(__xludf.dummyfunction("""COMPUTED_VALUE"""),"005******61")</f>
        <v>005******61</v>
      </c>
      <c r="H53" s="11" t="str">
        <f>IFERROR(__xludf.dummyfunction("""COMPUTED_VALUE"""),"INFANTIL 1")</f>
        <v>INFANTIL 1</v>
      </c>
      <c r="I53" s="12" t="str">
        <f>IFERROR(__xludf.dummyfunction("""COMPUTED_VALUE"""),"CRECHE ALAYDE MARIA DA CONCEICAO")</f>
        <v>CRECHE ALAYDE MARIA DA CONCEICAO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Height="1" spans="1:26">
      <c r="A54" s="3"/>
      <c r="B54" s="11" t="str">
        <f>IFERROR(__xludf.dummyfunction("""COMPUTED_VALUE"""),"REGIONAL 2")</f>
        <v>REGIONAL 2</v>
      </c>
      <c r="C54" s="11" t="str">
        <f>IFERROR(__xludf.dummyfunction("""COMPUTED_VALUE"""),"19/03/2026 10:36:55")</f>
        <v>19/03/2026 10:36:55</v>
      </c>
      <c r="D54" s="11" t="str">
        <f>IFERROR(__xludf.dummyfunction("""COMPUTED_VALUE"""),"1")</f>
        <v>1</v>
      </c>
      <c r="E54" s="11" t="str">
        <f>IFERROR(__xludf.dummyfunction("""COMPUTED_VALUE"""),"E. E. M. D. L")</f>
        <v>E. E. M. D. L</v>
      </c>
      <c r="F54" s="11" t="str">
        <f>IFERROR(__xludf.dummyfunction("""COMPUTED_VALUE"""),"21/04/2023")</f>
        <v>21/04/2023</v>
      </c>
      <c r="G54" s="11" t="str">
        <f>IFERROR(__xludf.dummyfunction("""COMPUTED_VALUE"""),"185******93")</f>
        <v>185******93</v>
      </c>
      <c r="H54" s="11" t="str">
        <f>IFERROR(__xludf.dummyfunction("""COMPUTED_VALUE"""),"INFANTIL 2")</f>
        <v>INFANTIL 2</v>
      </c>
      <c r="I54" s="12" t="str">
        <f>IFERROR(__xludf.dummyfunction("""COMPUTED_VALUE"""),"CRECHE ALAYDE MARIA DA CONCEICAO")</f>
        <v>CRECHE ALAYDE MARIA DA CONCEICAO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Height="1" spans="1:26">
      <c r="A55" s="3"/>
      <c r="B55" s="11" t="str">
        <f>IFERROR(__xludf.dummyfunction("""COMPUTED_VALUE"""),"REGIONAL 2")</f>
        <v>REGIONAL 2</v>
      </c>
      <c r="C55" s="11" t="str">
        <f>IFERROR(__xludf.dummyfunction("""COMPUTED_VALUE"""),"31/03/2026 12:14:35")</f>
        <v>31/03/2026 12:14:35</v>
      </c>
      <c r="D55" s="11" t="str">
        <f>IFERROR(__xludf.dummyfunction("""COMPUTED_VALUE"""),"2")</f>
        <v>2</v>
      </c>
      <c r="E55" s="11" t="str">
        <f>IFERROR(__xludf.dummyfunction("""COMPUTED_VALUE"""),"H. D. A. F")</f>
        <v>H. D. A. F</v>
      </c>
      <c r="F55" s="11" t="str">
        <f>IFERROR(__xludf.dummyfunction("""COMPUTED_VALUE"""),"04/03/2024")</f>
        <v>04/03/2024</v>
      </c>
      <c r="G55" s="11" t="str">
        <f>IFERROR(__xludf.dummyfunction("""COMPUTED_VALUE"""),"002******10")</f>
        <v>002******10</v>
      </c>
      <c r="H55" s="11" t="str">
        <f>IFERROR(__xludf.dummyfunction("""COMPUTED_VALUE"""),"INFANTIL 2")</f>
        <v>INFANTIL 2</v>
      </c>
      <c r="I55" s="12" t="str">
        <f>IFERROR(__xludf.dummyfunction("""COMPUTED_VALUE"""),"CRECHE ALAYDE MARIA DA CONCEICAO")</f>
        <v>CRECHE ALAYDE MARIA DA CONCEICAO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Height="1" spans="1:26">
      <c r="A56" s="3"/>
      <c r="B56" s="11" t="str">
        <f>IFERROR(__xludf.dummyfunction("""COMPUTED_VALUE"""),"REGIONAL 2")</f>
        <v>REGIONAL 2</v>
      </c>
      <c r="C56" s="11" t="str">
        <f>IFERROR(__xludf.dummyfunction("""COMPUTED_VALUE"""),"27/04/2026 15:51:32")</f>
        <v>27/04/2026 15:51:32</v>
      </c>
      <c r="D56" s="11" t="str">
        <f>IFERROR(__xludf.dummyfunction("""COMPUTED_VALUE"""),"3")</f>
        <v>3</v>
      </c>
      <c r="E56" s="11" t="str">
        <f>IFERROR(__xludf.dummyfunction("""COMPUTED_VALUE"""),"E. F. M. D. S. R")</f>
        <v>E. F. M. D. S. R</v>
      </c>
      <c r="F56" s="11" t="str">
        <f>IFERROR(__xludf.dummyfunction("""COMPUTED_VALUE"""),"11/02/2024")</f>
        <v>11/02/2024</v>
      </c>
      <c r="G56" s="11" t="str">
        <f>IFERROR(__xludf.dummyfunction("""COMPUTED_VALUE"""),"001******22")</f>
        <v>001******22</v>
      </c>
      <c r="H56" s="11" t="str">
        <f>IFERROR(__xludf.dummyfunction("""COMPUTED_VALUE"""),"INFANTIL 2")</f>
        <v>INFANTIL 2</v>
      </c>
      <c r="I56" s="12" t="str">
        <f>IFERROR(__xludf.dummyfunction("""COMPUTED_VALUE"""),"CRECHE ALAYDE MARIA DA CONCEICAO")</f>
        <v>CRECHE ALAYDE MARIA DA CONCEICAO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Height="1" spans="1:26">
      <c r="A57" s="3"/>
      <c r="B57" s="11" t="str">
        <f>IFERROR(__xludf.dummyfunction("""COMPUTED_VALUE"""),"REGIONAL 2")</f>
        <v>REGIONAL 2</v>
      </c>
      <c r="C57" s="11" t="str">
        <f>IFERROR(__xludf.dummyfunction("""COMPUTED_VALUE"""),"26/02/2026 09:33:21")</f>
        <v>26/02/2026 09:33:21</v>
      </c>
      <c r="D57" s="11" t="str">
        <f>IFERROR(__xludf.dummyfunction("""COMPUTED_VALUE"""),"1")</f>
        <v>1</v>
      </c>
      <c r="E57" s="11" t="str">
        <f>IFERROR(__xludf.dummyfunction("""COMPUTED_VALUE"""),"M. L. S. D. S")</f>
        <v>M. L. S. D. S</v>
      </c>
      <c r="F57" s="11" t="str">
        <f>IFERROR(__xludf.dummyfunction("""COMPUTED_VALUE"""),"20/07/2024")</f>
        <v>20/07/2024</v>
      </c>
      <c r="G57" s="11" t="str">
        <f>IFERROR(__xludf.dummyfunction("""COMPUTED_VALUE"""),"003******16")</f>
        <v>003******16</v>
      </c>
      <c r="H57" s="11" t="str">
        <f>IFERROR(__xludf.dummyfunction("""COMPUTED_VALUE"""),"INFANTIL 1")</f>
        <v>INFANTIL 1</v>
      </c>
      <c r="I57" s="12" t="str">
        <f>IFERROR(__xludf.dummyfunction("""COMPUTED_VALUE"""),"CRECHE PROFESSORA LEDA MARIA QUEIROZ DO REGO BARROS")</f>
        <v>CRECHE PROFESSORA LEDA MARIA QUEIROZ DO REGO BARROS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Height="1" spans="1:26">
      <c r="A58" s="3"/>
      <c r="B58" s="11" t="str">
        <f>IFERROR(__xludf.dummyfunction("""COMPUTED_VALUE"""),"REGIONAL 2")</f>
        <v>REGIONAL 2</v>
      </c>
      <c r="C58" s="11" t="str">
        <f>IFERROR(__xludf.dummyfunction("""COMPUTED_VALUE"""),"05/04/2026 16:11:06")</f>
        <v>05/04/2026 16:11:06</v>
      </c>
      <c r="D58" s="11" t="str">
        <f>IFERROR(__xludf.dummyfunction("""COMPUTED_VALUE"""),"2")</f>
        <v>2</v>
      </c>
      <c r="E58" s="11" t="str">
        <f>IFERROR(__xludf.dummyfunction("""COMPUTED_VALUE"""),"T. N. F. G")</f>
        <v>T. N. F. G</v>
      </c>
      <c r="F58" s="11" t="str">
        <f>IFERROR(__xludf.dummyfunction("""COMPUTED_VALUE"""),"27/09/2024")</f>
        <v>27/09/2024</v>
      </c>
      <c r="G58" s="11" t="str">
        <f>IFERROR(__xludf.dummyfunction("""COMPUTED_VALUE"""),"004******13")</f>
        <v>004******13</v>
      </c>
      <c r="H58" s="11" t="str">
        <f>IFERROR(__xludf.dummyfunction("""COMPUTED_VALUE"""),"INFANTIL 1")</f>
        <v>INFANTIL 1</v>
      </c>
      <c r="I58" s="12" t="str">
        <f>IFERROR(__xludf.dummyfunction("""COMPUTED_VALUE"""),"CRECHE PROFESSORA LEDA MARIA QUEIROZ DO REGO BARROS")</f>
        <v>CRECHE PROFESSORA LEDA MARIA QUEIROZ DO REGO BARROS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Height="1" spans="1:26">
      <c r="A59" s="3"/>
      <c r="B59" s="11" t="str">
        <f>IFERROR(__xludf.dummyfunction("""COMPUTED_VALUE"""),"REGIONAL 2")</f>
        <v>REGIONAL 2</v>
      </c>
      <c r="C59" s="11" t="str">
        <f>IFERROR(__xludf.dummyfunction("""COMPUTED_VALUE"""),"25/05/2026 11:20:13")</f>
        <v>25/05/2026 11:20:13</v>
      </c>
      <c r="D59" s="11" t="str">
        <f>IFERROR(__xludf.dummyfunction("""COMPUTED_VALUE"""),"3")</f>
        <v>3</v>
      </c>
      <c r="E59" s="11" t="str">
        <f>IFERROR(__xludf.dummyfunction("""COMPUTED_VALUE"""),"M. C. M. D. S")</f>
        <v>M. C. M. D. S</v>
      </c>
      <c r="F59" s="11" t="str">
        <f>IFERROR(__xludf.dummyfunction("""COMPUTED_VALUE"""),"22/04/2024")</f>
        <v>22/04/2024</v>
      </c>
      <c r="G59" s="11" t="str">
        <f>IFERROR(__xludf.dummyfunction("""COMPUTED_VALUE"""),"003******40")</f>
        <v>003******40</v>
      </c>
      <c r="H59" s="11" t="str">
        <f>IFERROR(__xludf.dummyfunction("""COMPUTED_VALUE"""),"INFANTIL 1")</f>
        <v>INFANTIL 1</v>
      </c>
      <c r="I59" s="12" t="str">
        <f>IFERROR(__xludf.dummyfunction("""COMPUTED_VALUE"""),"CRECHE PROFESSORA LEDA MARIA QUEIROZ DO REGO BARROS")</f>
        <v>CRECHE PROFESSORA LEDA MARIA QUEIROZ DO REGO BARROS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Height="1" spans="1:26">
      <c r="A60" s="3"/>
      <c r="B60" s="11" t="str">
        <f>IFERROR(__xludf.dummyfunction("""COMPUTED_VALUE"""),"REGIONAL 2")</f>
        <v>REGIONAL 2</v>
      </c>
      <c r="C60" s="11" t="str">
        <f>IFERROR(__xludf.dummyfunction("""COMPUTED_VALUE"""),"01/06/2026 12:02:51")</f>
        <v>01/06/2026 12:02:51</v>
      </c>
      <c r="D60" s="11" t="str">
        <f>IFERROR(__xludf.dummyfunction("""COMPUTED_VALUE"""),"4")</f>
        <v>4</v>
      </c>
      <c r="E60" s="11" t="str">
        <f>IFERROR(__xludf.dummyfunction("""COMPUTED_VALUE"""),"R. V. V. M. d. S")</f>
        <v>R. V. V. M. d. S</v>
      </c>
      <c r="F60" s="11" t="str">
        <f>IFERROR(__xludf.dummyfunction("""COMPUTED_VALUE"""),"18/03/2025")</f>
        <v>18/03/2025</v>
      </c>
      <c r="G60" s="11" t="str">
        <f>IFERROR(__xludf.dummyfunction("""COMPUTED_VALUE"""),"005******43")</f>
        <v>005******43</v>
      </c>
      <c r="H60" s="11" t="str">
        <f>IFERROR(__xludf.dummyfunction("""COMPUTED_VALUE"""),"INFANTIL 1")</f>
        <v>INFANTIL 1</v>
      </c>
      <c r="I60" s="12" t="str">
        <f>IFERROR(__xludf.dummyfunction("""COMPUTED_VALUE"""),"CRECHE PROFESSORA LEDA MARIA QUEIROZ DO REGO BARROS")</f>
        <v>CRECHE PROFESSORA LEDA MARIA QUEIROZ DO REGO BARROS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Height="1" spans="1:26">
      <c r="A61" s="3"/>
      <c r="B61" s="11" t="str">
        <f>IFERROR(__xludf.dummyfunction("""COMPUTED_VALUE"""),"REGIONAL 2")</f>
        <v>REGIONAL 2</v>
      </c>
      <c r="C61" s="11" t="str">
        <f>IFERROR(__xludf.dummyfunction("""COMPUTED_VALUE"""),"01/07/2026 10:11:32")</f>
        <v>01/07/2026 10:11:32</v>
      </c>
      <c r="D61" s="11" t="str">
        <f>IFERROR(__xludf.dummyfunction("""COMPUTED_VALUE"""),"5")</f>
        <v>5</v>
      </c>
      <c r="E61" s="11" t="str">
        <f>IFERROR(__xludf.dummyfunction("""COMPUTED_VALUE"""),"M. A. A. S")</f>
        <v>M. A. A. S</v>
      </c>
      <c r="F61" s="11" t="str">
        <f>IFERROR(__xludf.dummyfunction("""COMPUTED_VALUE"""),"06/01/2026")</f>
        <v>06/01/2026</v>
      </c>
      <c r="G61" s="11" t="str">
        <f>IFERROR(__xludf.dummyfunction("""COMPUTED_VALUE"""),"046******68")</f>
        <v>046******68</v>
      </c>
      <c r="H61" s="11" t="str">
        <f>IFERROR(__xludf.dummyfunction("""COMPUTED_VALUE"""),"INFANTIL 1")</f>
        <v>INFANTIL 1</v>
      </c>
      <c r="I61" s="12" t="str">
        <f>IFERROR(__xludf.dummyfunction("""COMPUTED_VALUE"""),"CRECHE PROFESSORA LEDA MARIA QUEIROZ DO REGO BARROS")</f>
        <v>CRECHE PROFESSORA LEDA MARIA QUEIROZ DO REGO BARROS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Height="1" spans="1:26">
      <c r="A62" s="3"/>
      <c r="B62" s="11" t="str">
        <f>IFERROR(__xludf.dummyfunction("""COMPUTED_VALUE"""),"REGIONAL 2")</f>
        <v>REGIONAL 2</v>
      </c>
      <c r="C62" s="11" t="str">
        <f>IFERROR(__xludf.dummyfunction("""COMPUTED_VALUE"""),"02/07/2026 10:44:55")</f>
        <v>02/07/2026 10:44:55</v>
      </c>
      <c r="D62" s="11" t="str">
        <f>IFERROR(__xludf.dummyfunction("""COMPUTED_VALUE"""),"6")</f>
        <v>6</v>
      </c>
      <c r="E62" s="11" t="str">
        <f>IFERROR(__xludf.dummyfunction("""COMPUTED_VALUE"""),"S. c. v. d. S. l")</f>
        <v>S. c. v. d. S. l</v>
      </c>
      <c r="F62" s="11" t="str">
        <f>IFERROR(__xludf.dummyfunction("""COMPUTED_VALUE"""),"20/09/2024")</f>
        <v>20/09/2024</v>
      </c>
      <c r="G62" s="11" t="str">
        <f>IFERROR(__xludf.dummyfunction("""COMPUTED_VALUE"""),"004******62")</f>
        <v>004******62</v>
      </c>
      <c r="H62" s="11" t="str">
        <f>IFERROR(__xludf.dummyfunction("""COMPUTED_VALUE"""),"INFANTIL 1")</f>
        <v>INFANTIL 1</v>
      </c>
      <c r="I62" s="12" t="str">
        <f>IFERROR(__xludf.dummyfunction("""COMPUTED_VALUE"""),"CRECHE PROFESSORA LEDA MARIA QUEIROZ DO REGO BARROS")</f>
        <v>CRECHE PROFESSORA LEDA MARIA QUEIROZ DO REGO BARROS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Height="1" spans="1:26">
      <c r="A63" s="3"/>
      <c r="B63" s="11" t="str">
        <f>IFERROR(__xludf.dummyfunction("""COMPUTED_VALUE"""),"REGIONAL 2")</f>
        <v>REGIONAL 2</v>
      </c>
      <c r="C63" s="11" t="str">
        <f>IFERROR(__xludf.dummyfunction("""COMPUTED_VALUE"""),"16/07/2026 01:57:54")</f>
        <v>16/07/2026 01:57:54</v>
      </c>
      <c r="D63" s="11" t="str">
        <f>IFERROR(__xludf.dummyfunction("""COMPUTED_VALUE"""),"7")</f>
        <v>7</v>
      </c>
      <c r="E63" s="11" t="str">
        <f>IFERROR(__xludf.dummyfunction("""COMPUTED_VALUE"""),"M. H. O. d. L")</f>
        <v>M. H. O. d. L</v>
      </c>
      <c r="F63" s="11" t="str">
        <f>IFERROR(__xludf.dummyfunction("""COMPUTED_VALUE"""),"27/08/2025")</f>
        <v>27/08/2025</v>
      </c>
      <c r="G63" s="11" t="str">
        <f>IFERROR(__xludf.dummyfunction("""COMPUTED_VALUE"""),"007******62")</f>
        <v>007******62</v>
      </c>
      <c r="H63" s="11" t="str">
        <f>IFERROR(__xludf.dummyfunction("""COMPUTED_VALUE"""),"INFANTIL 1")</f>
        <v>INFANTIL 1</v>
      </c>
      <c r="I63" s="12" t="str">
        <f>IFERROR(__xludf.dummyfunction("""COMPUTED_VALUE"""),"CRECHE PROFESSORA LEDA MARIA QUEIROZ DO REGO BARROS")</f>
        <v>CRECHE PROFESSORA LEDA MARIA QUEIROZ DO REGO BARROS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Height="1" spans="1:26">
      <c r="A64" s="3"/>
      <c r="B64" s="11" t="str">
        <f>IFERROR(__xludf.dummyfunction("""COMPUTED_VALUE"""),"REGIONAL 2")</f>
        <v>REGIONAL 2</v>
      </c>
      <c r="C64" s="11" t="str">
        <f>IFERROR(__xludf.dummyfunction("""COMPUTED_VALUE"""),"23/07/2026 18:19:52")</f>
        <v>23/07/2026 18:19:52</v>
      </c>
      <c r="D64" s="11" t="str">
        <f>IFERROR(__xludf.dummyfunction("""COMPUTED_VALUE"""),"8")</f>
        <v>8</v>
      </c>
      <c r="E64" s="11" t="str">
        <f>IFERROR(__xludf.dummyfunction("""COMPUTED_VALUE"""),"G. E. J. d. C")</f>
        <v>G. E. J. d. C</v>
      </c>
      <c r="F64" s="11" t="str">
        <f>IFERROR(__xludf.dummyfunction("""COMPUTED_VALUE"""),"07/04/2025")</f>
        <v>07/04/2025</v>
      </c>
      <c r="G64" s="11" t="str">
        <f>IFERROR(__xludf.dummyfunction("""COMPUTED_VALUE"""),"005******74")</f>
        <v>005******74</v>
      </c>
      <c r="H64" s="11" t="str">
        <f>IFERROR(__xludf.dummyfunction("""COMPUTED_VALUE"""),"INFANTIL 1")</f>
        <v>INFANTIL 1</v>
      </c>
      <c r="I64" s="12" t="str">
        <f>IFERROR(__xludf.dummyfunction("""COMPUTED_VALUE"""),"CRECHE PROFESSORA LEDA MARIA QUEIROZ DO REGO BARROS")</f>
        <v>CRECHE PROFESSORA LEDA MARIA QUEIROZ DO REGO BARROS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Height="1" spans="1:26">
      <c r="A65" s="3"/>
      <c r="B65" s="11" t="str">
        <f>IFERROR(__xludf.dummyfunction("""COMPUTED_VALUE"""),"REGIONAL 2")</f>
        <v>REGIONAL 2</v>
      </c>
      <c r="C65" s="11" t="str">
        <f>IFERROR(__xludf.dummyfunction("""COMPUTED_VALUE"""),"21/09/2026 09:50:34")</f>
        <v>21/09/2026 09:50:34</v>
      </c>
      <c r="D65" s="11" t="str">
        <f>IFERROR(__xludf.dummyfunction("""COMPUTED_VALUE"""),"9")</f>
        <v>9</v>
      </c>
      <c r="E65" s="11" t="str">
        <f>IFERROR(__xludf.dummyfunction("""COMPUTED_VALUE"""),"R. H. F. s. d. S")</f>
        <v>R. H. F. s. d. S</v>
      </c>
      <c r="F65" s="11" t="str">
        <f>IFERROR(__xludf.dummyfunction("""COMPUTED_VALUE"""),"16/03/2025")</f>
        <v>16/03/2025</v>
      </c>
      <c r="G65" s="11" t="str">
        <f>IFERROR(__xludf.dummyfunction("""COMPUTED_VALUE"""),"005******50")</f>
        <v>005******50</v>
      </c>
      <c r="H65" s="11" t="str">
        <f>IFERROR(__xludf.dummyfunction("""COMPUTED_VALUE"""),"INFANTIL 1")</f>
        <v>INFANTIL 1</v>
      </c>
      <c r="I65" s="12" t="str">
        <f>IFERROR(__xludf.dummyfunction("""COMPUTED_VALUE"""),"CRECHE PROFESSORA LEDA MARIA QUEIROZ DO REGO BARROS")</f>
        <v>CRECHE PROFESSORA LEDA MARIA QUEIROZ DO REGO BARROS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Height="1" spans="1:26">
      <c r="A66" s="3"/>
      <c r="B66" s="11" t="str">
        <f>IFERROR(__xludf.dummyfunction("""COMPUTED_VALUE"""),"REGIONAL 2")</f>
        <v>REGIONAL 2</v>
      </c>
      <c r="C66" s="11" t="str">
        <f>IFERROR(__xludf.dummyfunction("""COMPUTED_VALUE"""),"02/02/2026 18:41:44")</f>
        <v>02/02/2026 18:41:44</v>
      </c>
      <c r="D66" s="11" t="str">
        <f>IFERROR(__xludf.dummyfunction("""COMPUTED_VALUE"""),"1")</f>
        <v>1</v>
      </c>
      <c r="E66" s="11" t="str">
        <f>IFERROR(__xludf.dummyfunction("""COMPUTED_VALUE"""),"Y. K. D. S. P")</f>
        <v>Y. K. D. S. P</v>
      </c>
      <c r="F66" s="11" t="str">
        <f>IFERROR(__xludf.dummyfunction("""COMPUTED_VALUE"""),"24/06/2023")</f>
        <v>24/06/2023</v>
      </c>
      <c r="G66" s="11" t="str">
        <f>IFERROR(__xludf.dummyfunction("""COMPUTED_VALUE"""),"185******44")</f>
        <v>185******44</v>
      </c>
      <c r="H66" s="11" t="str">
        <f>IFERROR(__xludf.dummyfunction("""COMPUTED_VALUE"""),"INFANTIL 2")</f>
        <v>INFANTIL 2</v>
      </c>
      <c r="I66" s="12" t="str">
        <f>IFERROR(__xludf.dummyfunction("""COMPUTED_VALUE"""),"CRECHE PROFESSORA LEDA MARIA QUEIROZ DO REGO BARROS")</f>
        <v>CRECHE PROFESSORA LEDA MARIA QUEIROZ DO REGO BARROS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Height="1" spans="1:26">
      <c r="A67" s="3"/>
      <c r="B67" s="11" t="str">
        <f>IFERROR(__xludf.dummyfunction("""COMPUTED_VALUE"""),"REGIONAL 2")</f>
        <v>REGIONAL 2</v>
      </c>
      <c r="C67" s="11" t="str">
        <f>IFERROR(__xludf.dummyfunction("""COMPUTED_VALUE"""),"09/02/2026 08:20:49")</f>
        <v>09/02/2026 08:20:49</v>
      </c>
      <c r="D67" s="11" t="str">
        <f>IFERROR(__xludf.dummyfunction("""COMPUTED_VALUE"""),"2")</f>
        <v>2</v>
      </c>
      <c r="E67" s="11" t="str">
        <f>IFERROR(__xludf.dummyfunction("""COMPUTED_VALUE"""),"T. R. D. S")</f>
        <v>T. R. D. S</v>
      </c>
      <c r="F67" s="11" t="str">
        <f>IFERROR(__xludf.dummyfunction("""COMPUTED_VALUE"""),"10/03/2024")</f>
        <v>10/03/2024</v>
      </c>
      <c r="G67" s="11" t="str">
        <f>IFERROR(__xludf.dummyfunction("""COMPUTED_VALUE"""),"002******98")</f>
        <v>002******98</v>
      </c>
      <c r="H67" s="11" t="str">
        <f>IFERROR(__xludf.dummyfunction("""COMPUTED_VALUE"""),"INFANTIL 2")</f>
        <v>INFANTIL 2</v>
      </c>
      <c r="I67" s="12" t="str">
        <f>IFERROR(__xludf.dummyfunction("""COMPUTED_VALUE"""),"CRECHE PROFESSORA LEDA MARIA QUEIROZ DO REGO BARROS")</f>
        <v>CRECHE PROFESSORA LEDA MARIA QUEIROZ DO REGO BARROS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Height="1" spans="1:26">
      <c r="A68" s="3"/>
      <c r="B68" s="11" t="str">
        <f>IFERROR(__xludf.dummyfunction("""COMPUTED_VALUE"""),"REGIONAL 2")</f>
        <v>REGIONAL 2</v>
      </c>
      <c r="C68" s="11" t="str">
        <f>IFERROR(__xludf.dummyfunction("""COMPUTED_VALUE"""),"09/03/2026 10:20:55")</f>
        <v>09/03/2026 10:20:55</v>
      </c>
      <c r="D68" s="11" t="str">
        <f>IFERROR(__xludf.dummyfunction("""COMPUTED_VALUE"""),"3")</f>
        <v>3</v>
      </c>
      <c r="E68" s="11" t="str">
        <f>IFERROR(__xludf.dummyfunction("""COMPUTED_VALUE"""),"S. J. D. S. A")</f>
        <v>S. J. D. S. A</v>
      </c>
      <c r="F68" s="11" t="str">
        <f>IFERROR(__xludf.dummyfunction("""COMPUTED_VALUE"""),"19/06/2023")</f>
        <v>19/06/2023</v>
      </c>
      <c r="G68" s="11" t="str">
        <f>IFERROR(__xludf.dummyfunction("""COMPUTED_VALUE"""),"185******81")</f>
        <v>185******81</v>
      </c>
      <c r="H68" s="11" t="str">
        <f>IFERROR(__xludf.dummyfunction("""COMPUTED_VALUE"""),"INFANTIL 2")</f>
        <v>INFANTIL 2</v>
      </c>
      <c r="I68" s="12" t="str">
        <f>IFERROR(__xludf.dummyfunction("""COMPUTED_VALUE"""),"CRECHE PROFESSORA LEDA MARIA QUEIROZ DO REGO BARROS")</f>
        <v>CRECHE PROFESSORA LEDA MARIA QUEIROZ DO REGO BARROS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Height="1" spans="1:26">
      <c r="A69" s="3"/>
      <c r="B69" s="11" t="str">
        <f>IFERROR(__xludf.dummyfunction("""COMPUTED_VALUE"""),"REGIONAL 2")</f>
        <v>REGIONAL 2</v>
      </c>
      <c r="C69" s="11" t="str">
        <f>IFERROR(__xludf.dummyfunction("""COMPUTED_VALUE"""),"10/04/2026 02:09:34")</f>
        <v>10/04/2026 02:09:34</v>
      </c>
      <c r="D69" s="11" t="str">
        <f>IFERROR(__xludf.dummyfunction("""COMPUTED_VALUE"""),"4")</f>
        <v>4</v>
      </c>
      <c r="E69" s="11" t="str">
        <f>IFERROR(__xludf.dummyfunction("""COMPUTED_VALUE"""),"S. R. S. D. N")</f>
        <v>S. R. S. D. N</v>
      </c>
      <c r="F69" s="11" t="str">
        <f>IFERROR(__xludf.dummyfunction("""COMPUTED_VALUE"""),"10/08/2023")</f>
        <v>10/08/2023</v>
      </c>
      <c r="G69" s="11" t="str">
        <f>IFERROR(__xludf.dummyfunction("""COMPUTED_VALUE"""),"186******67")</f>
        <v>186******67</v>
      </c>
      <c r="H69" s="11" t="str">
        <f>IFERROR(__xludf.dummyfunction("""COMPUTED_VALUE"""),"INFANTIL 2")</f>
        <v>INFANTIL 2</v>
      </c>
      <c r="I69" s="12" t="str">
        <f>IFERROR(__xludf.dummyfunction("""COMPUTED_VALUE"""),"CRECHE PROFESSORA LEDA MARIA QUEIROZ DO REGO BARROS")</f>
        <v>CRECHE PROFESSORA LEDA MARIA QUEIROZ DO REGO BARROS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Height="1" spans="1:26">
      <c r="A70" s="3"/>
      <c r="B70" s="11" t="str">
        <f>IFERROR(__xludf.dummyfunction("""COMPUTED_VALUE"""),"REGIONAL 2")</f>
        <v>REGIONAL 2</v>
      </c>
      <c r="C70" s="11" t="str">
        <f>IFERROR(__xludf.dummyfunction("""COMPUTED_VALUE"""),"22/04/2026 11:52:44")</f>
        <v>22/04/2026 11:52:44</v>
      </c>
      <c r="D70" s="11" t="str">
        <f>IFERROR(__xludf.dummyfunction("""COMPUTED_VALUE"""),"5")</f>
        <v>5</v>
      </c>
      <c r="E70" s="11" t="str">
        <f>IFERROR(__xludf.dummyfunction("""COMPUTED_VALUE"""),"H. M. F")</f>
        <v>H. M. F</v>
      </c>
      <c r="F70" s="11" t="str">
        <f>IFERROR(__xludf.dummyfunction("""COMPUTED_VALUE"""),"15/07/2023")</f>
        <v>15/07/2023</v>
      </c>
      <c r="G70" s="11" t="str">
        <f>IFERROR(__xludf.dummyfunction("""COMPUTED_VALUE"""),"186******47")</f>
        <v>186******47</v>
      </c>
      <c r="H70" s="11" t="str">
        <f>IFERROR(__xludf.dummyfunction("""COMPUTED_VALUE"""),"INFANTIL 2")</f>
        <v>INFANTIL 2</v>
      </c>
      <c r="I70" s="12" t="str">
        <f>IFERROR(__xludf.dummyfunction("""COMPUTED_VALUE"""),"CRECHE PROFESSORA LEDA MARIA QUEIROZ DO REGO BARROS")</f>
        <v>CRECHE PROFESSORA LEDA MARIA QUEIROZ DO REGO BARROS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Height="1" spans="1:26">
      <c r="A71" s="3"/>
      <c r="B71" s="11" t="str">
        <f>IFERROR(__xludf.dummyfunction("""COMPUTED_VALUE"""),"REGIONAL 2")</f>
        <v>REGIONAL 2</v>
      </c>
      <c r="C71" s="11" t="str">
        <f>IFERROR(__xludf.dummyfunction("""COMPUTED_VALUE"""),"01/07/2026 14:38:50")</f>
        <v>01/07/2026 14:38:50</v>
      </c>
      <c r="D71" s="11" t="str">
        <f>IFERROR(__xludf.dummyfunction("""COMPUTED_VALUE"""),"6")</f>
        <v>6</v>
      </c>
      <c r="E71" s="11" t="str">
        <f>IFERROR(__xludf.dummyfunction("""COMPUTED_VALUE"""),"A. l. D. F. V. C")</f>
        <v>A. l. D. F. V. C</v>
      </c>
      <c r="F71" s="11" t="str">
        <f>IFERROR(__xludf.dummyfunction("""COMPUTED_VALUE"""),"20/05/2023")</f>
        <v>20/05/2023</v>
      </c>
      <c r="G71" s="11" t="str">
        <f>IFERROR(__xludf.dummyfunction("""COMPUTED_VALUE"""),"185******08")</f>
        <v>185******08</v>
      </c>
      <c r="H71" s="11" t="str">
        <f>IFERROR(__xludf.dummyfunction("""COMPUTED_VALUE"""),"INFANTIL 2")</f>
        <v>INFANTIL 2</v>
      </c>
      <c r="I71" s="12" t="str">
        <f>IFERROR(__xludf.dummyfunction("""COMPUTED_VALUE"""),"CRECHE PROFESSORA LEDA MARIA QUEIROZ DO REGO BARROS")</f>
        <v>CRECHE PROFESSORA LEDA MARIA QUEIROZ DO REGO BARROS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Height="1" spans="1:26">
      <c r="A72" s="3"/>
      <c r="B72" s="11" t="str">
        <f>IFERROR(__xludf.dummyfunction("""COMPUTED_VALUE"""),"REGIONAL 2")</f>
        <v>REGIONAL 2</v>
      </c>
      <c r="C72" s="11" t="str">
        <f>IFERROR(__xludf.dummyfunction("""COMPUTED_VALUE"""),"03/09/2026 16:47:49")</f>
        <v>03/09/2026 16:47:49</v>
      </c>
      <c r="D72" s="11" t="str">
        <f>IFERROR(__xludf.dummyfunction("""COMPUTED_VALUE"""),"7")</f>
        <v>7</v>
      </c>
      <c r="E72" s="11" t="str">
        <f>IFERROR(__xludf.dummyfunction("""COMPUTED_VALUE"""),"E. s. c. d. c")</f>
        <v>E. s. c. d. c</v>
      </c>
      <c r="F72" s="11" t="str">
        <f>IFERROR(__xludf.dummyfunction("""COMPUTED_VALUE"""),"20/11/2023")</f>
        <v>20/11/2023</v>
      </c>
      <c r="G72" s="11" t="str">
        <f>IFERROR(__xludf.dummyfunction("""COMPUTED_VALUE"""),"001******61")</f>
        <v>001******61</v>
      </c>
      <c r="H72" s="11" t="str">
        <f>IFERROR(__xludf.dummyfunction("""COMPUTED_VALUE"""),"INFANTIL 2")</f>
        <v>INFANTIL 2</v>
      </c>
      <c r="I72" s="12" t="str">
        <f>IFERROR(__xludf.dummyfunction("""COMPUTED_VALUE"""),"CRECHE PROFESSORA LEDA MARIA QUEIROZ DO REGO BARROS")</f>
        <v>CRECHE PROFESSORA LEDA MARIA QUEIROZ DO REGO BARROS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Height="1" spans="1:26">
      <c r="A73" s="3"/>
      <c r="B73" s="11" t="str">
        <f>IFERROR(__xludf.dummyfunction("""COMPUTED_VALUE"""),"REGIONAL 2")</f>
        <v>REGIONAL 2</v>
      </c>
      <c r="C73" s="11" t="str">
        <f>IFERROR(__xludf.dummyfunction("""COMPUTED_VALUE"""),"10/09/2026 21:06:59")</f>
        <v>10/09/2026 21:06:59</v>
      </c>
      <c r="D73" s="11" t="str">
        <f>IFERROR(__xludf.dummyfunction("""COMPUTED_VALUE"""),"8")</f>
        <v>8</v>
      </c>
      <c r="E73" s="11" t="str">
        <f>IFERROR(__xludf.dummyfunction("""COMPUTED_VALUE"""),"À. S. A. D. S")</f>
        <v>À. S. A. D. S</v>
      </c>
      <c r="F73" s="11" t="str">
        <f>IFERROR(__xludf.dummyfunction("""COMPUTED_VALUE"""),"29/12/2023")</f>
        <v>29/12/2023</v>
      </c>
      <c r="G73" s="11" t="str">
        <f>IFERROR(__xludf.dummyfunction("""COMPUTED_VALUE"""),"001******62")</f>
        <v>001******62</v>
      </c>
      <c r="H73" s="11" t="str">
        <f>IFERROR(__xludf.dummyfunction("""COMPUTED_VALUE"""),"INFANTIL 2")</f>
        <v>INFANTIL 2</v>
      </c>
      <c r="I73" s="12" t="str">
        <f>IFERROR(__xludf.dummyfunction("""COMPUTED_VALUE"""),"CRECHE PROFESSORA LEDA MARIA QUEIROZ DO REGO BARROS")</f>
        <v>CRECHE PROFESSORA LEDA MARIA QUEIROZ DO REGO BARROS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Height="1" spans="1:26">
      <c r="A74" s="3"/>
      <c r="B74" s="11" t="str">
        <f>IFERROR(__xludf.dummyfunction("""COMPUTED_VALUE"""),"REGIONAL 2")</f>
        <v>REGIONAL 2</v>
      </c>
      <c r="C74" s="11" t="str">
        <f>IFERROR(__xludf.dummyfunction("""COMPUTED_VALUE"""),"10/09/2026 21:43:57")</f>
        <v>10/09/2026 21:43:57</v>
      </c>
      <c r="D74" s="11" t="str">
        <f>IFERROR(__xludf.dummyfunction("""COMPUTED_VALUE"""),"9")</f>
        <v>9</v>
      </c>
      <c r="E74" s="11" t="str">
        <f>IFERROR(__xludf.dummyfunction("""COMPUTED_VALUE"""),"M. R. L. B")</f>
        <v>M. R. L. B</v>
      </c>
      <c r="F74" s="11" t="str">
        <f>IFERROR(__xludf.dummyfunction("""COMPUTED_VALUE"""),"10/03/2024")</f>
        <v>10/03/2024</v>
      </c>
      <c r="G74" s="11" t="str">
        <f>IFERROR(__xludf.dummyfunction("""COMPUTED_VALUE"""),"002******95")</f>
        <v>002******95</v>
      </c>
      <c r="H74" s="11" t="str">
        <f>IFERROR(__xludf.dummyfunction("""COMPUTED_VALUE"""),"INFANTIL 2")</f>
        <v>INFANTIL 2</v>
      </c>
      <c r="I74" s="12" t="str">
        <f>IFERROR(__xludf.dummyfunction("""COMPUTED_VALUE"""),"CRECHE PROFESSORA LEDA MARIA QUEIROZ DO REGO BARROS")</f>
        <v>CRECHE PROFESSORA LEDA MARIA QUEIROZ DO REGO BARROS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Height="1" spans="1:26">
      <c r="A75" s="3"/>
      <c r="B75" s="11" t="str">
        <f>IFERROR(__xludf.dummyfunction("""COMPUTED_VALUE"""),"REGIONAL 3")</f>
        <v>REGIONAL 3</v>
      </c>
      <c r="C75" s="11" t="str">
        <f>IFERROR(__xludf.dummyfunction("""COMPUTED_VALUE"""),"29/01/2026 14:12:29")</f>
        <v>29/01/2026 14:12:29</v>
      </c>
      <c r="D75" s="11" t="str">
        <f>IFERROR(__xludf.dummyfunction("""COMPUTED_VALUE"""),"2")</f>
        <v>2</v>
      </c>
      <c r="E75" s="11" t="str">
        <f>IFERROR(__xludf.dummyfunction("""COMPUTED_VALUE"""),"J. F. B. D. S. C")</f>
        <v>J. F. B. D. S. C</v>
      </c>
      <c r="F75" s="11" t="str">
        <f>IFERROR(__xludf.dummyfunction("""COMPUTED_VALUE"""),"13/03/2025")</f>
        <v>13/03/2025</v>
      </c>
      <c r="G75" s="11" t="str">
        <f>IFERROR(__xludf.dummyfunction("""COMPUTED_VALUE"""),"006******02")</f>
        <v>006******02</v>
      </c>
      <c r="H75" s="11" t="str">
        <f>IFERROR(__xludf.dummyfunction("""COMPUTED_VALUE"""),"INFANTIL 1")</f>
        <v>INFANTIL 1</v>
      </c>
      <c r="I75" s="12" t="str">
        <f>IFERROR(__xludf.dummyfunction("""COMPUTED_VALUE"""),"CRECHE MUNDO ENCANTADO")</f>
        <v>CRECHE MUNDO ENCANTADO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Height="1" spans="1:26">
      <c r="A76" s="3"/>
      <c r="B76" s="11" t="str">
        <f>IFERROR(__xludf.dummyfunction("""COMPUTED_VALUE"""),"REGIONAL 3")</f>
        <v>REGIONAL 3</v>
      </c>
      <c r="C76" s="11" t="str">
        <f>IFERROR(__xludf.dummyfunction("""COMPUTED_VALUE"""),"19/02/2026 21:16:01")</f>
        <v>19/02/2026 21:16:01</v>
      </c>
      <c r="D76" s="11" t="str">
        <f>IFERROR(__xludf.dummyfunction("""COMPUTED_VALUE"""),"3")</f>
        <v>3</v>
      </c>
      <c r="E76" s="11" t="str">
        <f>IFERROR(__xludf.dummyfunction("""COMPUTED_VALUE"""),"H. A. D. S")</f>
        <v>H. A. D. S</v>
      </c>
      <c r="F76" s="11" t="str">
        <f>IFERROR(__xludf.dummyfunction("""COMPUTED_VALUE"""),"19/05/2024")</f>
        <v>19/05/2024</v>
      </c>
      <c r="G76" s="11" t="str">
        <f>IFERROR(__xludf.dummyfunction("""COMPUTED_VALUE"""),"003******24")</f>
        <v>003******24</v>
      </c>
      <c r="H76" s="11" t="str">
        <f>IFERROR(__xludf.dummyfunction("""COMPUTED_VALUE"""),"INFANTIL 1")</f>
        <v>INFANTIL 1</v>
      </c>
      <c r="I76" s="12" t="str">
        <f>IFERROR(__xludf.dummyfunction("""COMPUTED_VALUE"""),"CRECHE MUNDO ENCANTADO")</f>
        <v>CRECHE MUNDO ENCANTADO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Height="1" spans="1:26">
      <c r="A77" s="3"/>
      <c r="B77" s="11" t="str">
        <f>IFERROR(__xludf.dummyfunction("""COMPUTED_VALUE"""),"REGIONAL 3")</f>
        <v>REGIONAL 3</v>
      </c>
      <c r="C77" s="11" t="str">
        <f>IFERROR(__xludf.dummyfunction("""COMPUTED_VALUE"""),"28/02/2026 20:58:43")</f>
        <v>28/02/2026 20:58:43</v>
      </c>
      <c r="D77" s="11" t="str">
        <f>IFERROR(__xludf.dummyfunction("""COMPUTED_VALUE"""),"4")</f>
        <v>4</v>
      </c>
      <c r="E77" s="11" t="str">
        <f>IFERROR(__xludf.dummyfunction("""COMPUTED_VALUE"""),"L. G. P. D. S")</f>
        <v>L. G. P. D. S</v>
      </c>
      <c r="F77" s="11" t="str">
        <f>IFERROR(__xludf.dummyfunction("""COMPUTED_VALUE"""),"12/04/2025")</f>
        <v>12/04/2025</v>
      </c>
      <c r="G77" s="11" t="str">
        <f>IFERROR(__xludf.dummyfunction("""COMPUTED_VALUE"""),"005******46")</f>
        <v>005******46</v>
      </c>
      <c r="H77" s="11" t="str">
        <f>IFERROR(__xludf.dummyfunction("""COMPUTED_VALUE"""),"INFANTIL 1")</f>
        <v>INFANTIL 1</v>
      </c>
      <c r="I77" s="12" t="str">
        <f>IFERROR(__xludf.dummyfunction("""COMPUTED_VALUE"""),"CRECHE MUNDO ENCANTADO")</f>
        <v>CRECHE MUNDO ENCANTADO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Height="1" spans="1:26">
      <c r="A78" s="3"/>
      <c r="B78" s="11" t="str">
        <f>IFERROR(__xludf.dummyfunction("""COMPUTED_VALUE"""),"REGIONAL 3")</f>
        <v>REGIONAL 3</v>
      </c>
      <c r="C78" s="11" t="str">
        <f>IFERROR(__xludf.dummyfunction("""COMPUTED_VALUE"""),"28/04/2026 11:00:10")</f>
        <v>28/04/2026 11:00:10</v>
      </c>
      <c r="D78" s="11" t="str">
        <f>IFERROR(__xludf.dummyfunction("""COMPUTED_VALUE"""),"5")</f>
        <v>5</v>
      </c>
      <c r="E78" s="11" t="str">
        <f>IFERROR(__xludf.dummyfunction("""COMPUTED_VALUE"""),"M. G. S. G")</f>
        <v>M. G. S. G</v>
      </c>
      <c r="F78" s="11" t="str">
        <f>IFERROR(__xludf.dummyfunction("""COMPUTED_VALUE"""),"11/04/2025")</f>
        <v>11/04/2025</v>
      </c>
      <c r="G78" s="11" t="str">
        <f>IFERROR(__xludf.dummyfunction("""COMPUTED_VALUE"""),"005******19")</f>
        <v>005******19</v>
      </c>
      <c r="H78" s="11" t="str">
        <f>IFERROR(__xludf.dummyfunction("""COMPUTED_VALUE"""),"INFANTIL 1")</f>
        <v>INFANTIL 1</v>
      </c>
      <c r="I78" s="12" t="str">
        <f>IFERROR(__xludf.dummyfunction("""COMPUTED_VALUE"""),"CRECHE MUNDO ENCANTADO")</f>
        <v>CRECHE MUNDO ENCANTADO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Height="1" spans="1:26">
      <c r="A79" s="3"/>
      <c r="B79" s="11" t="str">
        <f>IFERROR(__xludf.dummyfunction("""COMPUTED_VALUE"""),"REGIONAL 3")</f>
        <v>REGIONAL 3</v>
      </c>
      <c r="C79" s="11" t="str">
        <f>IFERROR(__xludf.dummyfunction("""COMPUTED_VALUE"""),"25/05/2026 18:39:15")</f>
        <v>25/05/2026 18:39:15</v>
      </c>
      <c r="D79" s="11" t="str">
        <f>IFERROR(__xludf.dummyfunction("""COMPUTED_VALUE"""),"6")</f>
        <v>6</v>
      </c>
      <c r="E79" s="11" t="str">
        <f>IFERROR(__xludf.dummyfunction("""COMPUTED_VALUE"""),"M. Y. R. M. V")</f>
        <v>M. Y. R. M. V</v>
      </c>
      <c r="F79" s="11" t="str">
        <f>IFERROR(__xludf.dummyfunction("""COMPUTED_VALUE"""),"29/12/2024")</f>
        <v>29/12/2024</v>
      </c>
      <c r="G79" s="11" t="str">
        <f>IFERROR(__xludf.dummyfunction("""COMPUTED_VALUE"""),"004******67")</f>
        <v>004******67</v>
      </c>
      <c r="H79" s="11" t="str">
        <f>IFERROR(__xludf.dummyfunction("""COMPUTED_VALUE"""),"INFANTIL 1")</f>
        <v>INFANTIL 1</v>
      </c>
      <c r="I79" s="12" t="str">
        <f>IFERROR(__xludf.dummyfunction("""COMPUTED_VALUE"""),"CRECHE MUNDO ENCANTADO")</f>
        <v>CRECHE MUNDO ENCANTADO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Height="1" spans="1:26">
      <c r="A80" s="3"/>
      <c r="B80" s="11" t="str">
        <f>IFERROR(__xludf.dummyfunction("""COMPUTED_VALUE"""),"REGIONAL 3")</f>
        <v>REGIONAL 3</v>
      </c>
      <c r="C80" s="11" t="str">
        <f>IFERROR(__xludf.dummyfunction("""COMPUTED_VALUE"""),"09/07/2026 11:02:23")</f>
        <v>09/07/2026 11:02:23</v>
      </c>
      <c r="D80" s="11" t="str">
        <f>IFERROR(__xludf.dummyfunction("""COMPUTED_VALUE"""),"7")</f>
        <v>7</v>
      </c>
      <c r="E80" s="11" t="str">
        <f>IFERROR(__xludf.dummyfunction("""COMPUTED_VALUE"""),"M. H. S. d. m")</f>
        <v>M. H. S. d. m</v>
      </c>
      <c r="F80" s="11" t="str">
        <f>IFERROR(__xludf.dummyfunction("""COMPUTED_VALUE"""),"18/08/2024")</f>
        <v>18/08/2024</v>
      </c>
      <c r="G80" s="11" t="str">
        <f>IFERROR(__xludf.dummyfunction("""COMPUTED_VALUE"""),"003******22")</f>
        <v>003******22</v>
      </c>
      <c r="H80" s="11" t="str">
        <f>IFERROR(__xludf.dummyfunction("""COMPUTED_VALUE"""),"INFANTIL 1")</f>
        <v>INFANTIL 1</v>
      </c>
      <c r="I80" s="12" t="str">
        <f>IFERROR(__xludf.dummyfunction("""COMPUTED_VALUE"""),"CRECHE MUNDO ENCANTADO")</f>
        <v>CRECHE MUNDO ENCANTADO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Height="1" spans="1:26">
      <c r="A81" s="3"/>
      <c r="B81" s="11" t="str">
        <f>IFERROR(__xludf.dummyfunction("""COMPUTED_VALUE"""),"REGIONAL 3")</f>
        <v>REGIONAL 3</v>
      </c>
      <c r="C81" s="11" t="str">
        <f>IFERROR(__xludf.dummyfunction("""COMPUTED_VALUE"""),"03/08/2026 15:31:56")</f>
        <v>03/08/2026 15:31:56</v>
      </c>
      <c r="D81" s="11" t="str">
        <f>IFERROR(__xludf.dummyfunction("""COMPUTED_VALUE"""),"8")</f>
        <v>8</v>
      </c>
      <c r="E81" s="11" t="str">
        <f>IFERROR(__xludf.dummyfunction("""COMPUTED_VALUE"""),"T. G. N. D. S")</f>
        <v>T. G. N. D. S</v>
      </c>
      <c r="F81" s="11" t="str">
        <f>IFERROR(__xludf.dummyfunction("""COMPUTED_VALUE"""),"29/06/2025")</f>
        <v>29/06/2025</v>
      </c>
      <c r="G81" s="11" t="str">
        <f>IFERROR(__xludf.dummyfunction("""COMPUTED_VALUE"""),"006******36")</f>
        <v>006******36</v>
      </c>
      <c r="H81" s="11" t="str">
        <f>IFERROR(__xludf.dummyfunction("""COMPUTED_VALUE"""),"INFANTIL 1")</f>
        <v>INFANTIL 1</v>
      </c>
      <c r="I81" s="12" t="str">
        <f>IFERROR(__xludf.dummyfunction("""COMPUTED_VALUE"""),"CRECHE MUNDO ENCANTADO")</f>
        <v>CRECHE MUNDO ENCANTADO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Height="1" spans="1:26">
      <c r="A82" s="3"/>
      <c r="B82" s="11" t="str">
        <f>IFERROR(__xludf.dummyfunction("""COMPUTED_VALUE"""),"REGIONAL 3")</f>
        <v>REGIONAL 3</v>
      </c>
      <c r="C82" s="11" t="str">
        <f>IFERROR(__xludf.dummyfunction("""COMPUTED_VALUE"""),"12/08/2026 23:55:57")</f>
        <v>12/08/2026 23:55:57</v>
      </c>
      <c r="D82" s="11" t="str">
        <f>IFERROR(__xludf.dummyfunction("""COMPUTED_VALUE"""),"9")</f>
        <v>9</v>
      </c>
      <c r="E82" s="11" t="str">
        <f>IFERROR(__xludf.dummyfunction("""COMPUTED_VALUE"""),"M. L. A. B. d. S")</f>
        <v>M. L. A. B. d. S</v>
      </c>
      <c r="F82" s="11" t="str">
        <f>IFERROR(__xludf.dummyfunction("""COMPUTED_VALUE"""),"11/10/2024")</f>
        <v>11/10/2024</v>
      </c>
      <c r="G82" s="11" t="str">
        <f>IFERROR(__xludf.dummyfunction("""COMPUTED_VALUE"""),"004******77")</f>
        <v>004******77</v>
      </c>
      <c r="H82" s="11" t="str">
        <f>IFERROR(__xludf.dummyfunction("""COMPUTED_VALUE"""),"INFANTIL 1")</f>
        <v>INFANTIL 1</v>
      </c>
      <c r="I82" s="12" t="str">
        <f>IFERROR(__xludf.dummyfunction("""COMPUTED_VALUE"""),"CRECHE MUNDO ENCANTADO")</f>
        <v>CRECHE MUNDO ENCANTADO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Height="1" spans="1:26">
      <c r="A83" s="3"/>
      <c r="B83" s="11" t="str">
        <f>IFERROR(__xludf.dummyfunction("""COMPUTED_VALUE"""),"REGIONAL 3")</f>
        <v>REGIONAL 3</v>
      </c>
      <c r="C83" s="11" t="str">
        <f>IFERROR(__xludf.dummyfunction("""COMPUTED_VALUE"""),"15/09/2026 09:58:57")</f>
        <v>15/09/2026 09:58:57</v>
      </c>
      <c r="D83" s="11" t="str">
        <f>IFERROR(__xludf.dummyfunction("""COMPUTED_VALUE"""),"10")</f>
        <v>10</v>
      </c>
      <c r="E83" s="11" t="str">
        <f>IFERROR(__xludf.dummyfunction("""COMPUTED_VALUE"""),"E. J. S. G")</f>
        <v>E. J. S. G</v>
      </c>
      <c r="F83" s="11" t="str">
        <f>IFERROR(__xludf.dummyfunction("""COMPUTED_VALUE"""),"22/07/2024")</f>
        <v>22/07/2024</v>
      </c>
      <c r="G83" s="11" t="str">
        <f>IFERROR(__xludf.dummyfunction("""COMPUTED_VALUE"""),"003******66")</f>
        <v>003******66</v>
      </c>
      <c r="H83" s="11" t="str">
        <f>IFERROR(__xludf.dummyfunction("""COMPUTED_VALUE"""),"INFANTIL 1")</f>
        <v>INFANTIL 1</v>
      </c>
      <c r="I83" s="12" t="str">
        <f>IFERROR(__xludf.dummyfunction("""COMPUTED_VALUE"""),"CRECHE MUNDO ENCANTADO")</f>
        <v>CRECHE MUNDO ENCANTADO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Height="1" spans="1:26">
      <c r="A84" s="3"/>
      <c r="B84" s="11" t="str">
        <f>IFERROR(__xludf.dummyfunction("""COMPUTED_VALUE"""),"REGIONAL 3")</f>
        <v>REGIONAL 3</v>
      </c>
      <c r="C84" s="11" t="str">
        <f>IFERROR(__xludf.dummyfunction("""COMPUTED_VALUE"""),"21/09/2026 10:15:31")</f>
        <v>21/09/2026 10:15:31</v>
      </c>
      <c r="D84" s="11" t="str">
        <f>IFERROR(__xludf.dummyfunction("""COMPUTED_VALUE"""),"11")</f>
        <v>11</v>
      </c>
      <c r="E84" s="11" t="str">
        <f>IFERROR(__xludf.dummyfunction("""COMPUTED_VALUE"""),"R. P. S. d. N")</f>
        <v>R. P. S. d. N</v>
      </c>
      <c r="F84" s="11" t="str">
        <f>IFERROR(__xludf.dummyfunction("""COMPUTED_VALUE"""),"27/11/2024")</f>
        <v>27/11/2024</v>
      </c>
      <c r="G84" s="11" t="str">
        <f>IFERROR(__xludf.dummyfunction("""COMPUTED_VALUE"""),"004******84")</f>
        <v>004******84</v>
      </c>
      <c r="H84" s="11" t="str">
        <f>IFERROR(__xludf.dummyfunction("""COMPUTED_VALUE"""),"INFANTIL 1")</f>
        <v>INFANTIL 1</v>
      </c>
      <c r="I84" s="12" t="str">
        <f>IFERROR(__xludf.dummyfunction("""COMPUTED_VALUE"""),"CRECHE MUNDO ENCANTADO")</f>
        <v>CRECHE MUNDO ENCANTADO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Height="1" spans="1:26">
      <c r="A85" s="3"/>
      <c r="B85" s="11" t="str">
        <f>IFERROR(__xludf.dummyfunction("""COMPUTED_VALUE"""),"REGIONAL 4")</f>
        <v>REGIONAL 4</v>
      </c>
      <c r="C85" s="11" t="str">
        <f>IFERROR(__xludf.dummyfunction("""COMPUTED_VALUE"""),"03/03/2026 09:31:27")</f>
        <v>03/03/2026 09:31:27</v>
      </c>
      <c r="D85" s="11" t="str">
        <f>IFERROR(__xludf.dummyfunction("""COMPUTED_VALUE"""),"2")</f>
        <v>2</v>
      </c>
      <c r="E85" s="11" t="str">
        <f>IFERROR(__xludf.dummyfunction("""COMPUTED_VALUE"""),"J. K. G. D. N")</f>
        <v>J. K. G. D. N</v>
      </c>
      <c r="F85" s="11" t="str">
        <f>IFERROR(__xludf.dummyfunction("""COMPUTED_VALUE"""),"25/07/2024")</f>
        <v>25/07/2024</v>
      </c>
      <c r="G85" s="11" t="str">
        <f>IFERROR(__xludf.dummyfunction("""COMPUTED_VALUE"""),"003******88")</f>
        <v>003******88</v>
      </c>
      <c r="H85" s="11" t="str">
        <f>IFERROR(__xludf.dummyfunction("""COMPUTED_VALUE"""),"INFANTIL 1")</f>
        <v>INFANTIL 1</v>
      </c>
      <c r="I85" s="12" t="str">
        <f>IFERROR(__xludf.dummyfunction("""COMPUTED_VALUE"""),"CENTRO MUNICIPAL DE EDUCAÇÃO INFANTIL MARCOS FREIRE")</f>
        <v>CENTRO MUNICIPAL DE EDUCAÇÃO INFANTIL MARCOS FREIRE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Height="1" spans="1:26">
      <c r="A86" s="3"/>
      <c r="B86" s="11" t="str">
        <f>IFERROR(__xludf.dummyfunction("""COMPUTED_VALUE"""),"REGIONAL 4")</f>
        <v>REGIONAL 4</v>
      </c>
      <c r="C86" s="11" t="str">
        <f>IFERROR(__xludf.dummyfunction("""COMPUTED_VALUE"""),"11/03/2026 16:45:43")</f>
        <v>11/03/2026 16:45:43</v>
      </c>
      <c r="D86" s="11" t="str">
        <f>IFERROR(__xludf.dummyfunction("""COMPUTED_VALUE"""),"3")</f>
        <v>3</v>
      </c>
      <c r="E86" s="11" t="str">
        <f>IFERROR(__xludf.dummyfunction("""COMPUTED_VALUE"""),"J. C. D. S")</f>
        <v>J. C. D. S</v>
      </c>
      <c r="F86" s="11" t="str">
        <f>IFERROR(__xludf.dummyfunction("""COMPUTED_VALUE"""),"13/08/2025")</f>
        <v>13/08/2025</v>
      </c>
      <c r="G86" s="11" t="str">
        <f>IFERROR(__xludf.dummyfunction("""COMPUTED_VALUE"""),"007******82")</f>
        <v>007******82</v>
      </c>
      <c r="H86" s="11" t="str">
        <f>IFERROR(__xludf.dummyfunction("""COMPUTED_VALUE"""),"INFANTIL 1")</f>
        <v>INFANTIL 1</v>
      </c>
      <c r="I86" s="12" t="str">
        <f>IFERROR(__xludf.dummyfunction("""COMPUTED_VALUE"""),"CENTRO MUNICIPAL DE EDUCAÇÃO INFANTIL MARCOS FREIRE")</f>
        <v>CENTRO MUNICIPAL DE EDUCAÇÃO INFANTIL MARCOS FREIRE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Height="1" spans="1:26">
      <c r="A87" s="3"/>
      <c r="B87" s="11" t="str">
        <f>IFERROR(__xludf.dummyfunction("""COMPUTED_VALUE"""),"REGIONAL 4")</f>
        <v>REGIONAL 4</v>
      </c>
      <c r="C87" s="11" t="str">
        <f>IFERROR(__xludf.dummyfunction("""COMPUTED_VALUE"""),"12/03/2026 06:29:35")</f>
        <v>12/03/2026 06:29:35</v>
      </c>
      <c r="D87" s="11" t="str">
        <f>IFERROR(__xludf.dummyfunction("""COMPUTED_VALUE"""),"4")</f>
        <v>4</v>
      </c>
      <c r="E87" s="11" t="str">
        <f>IFERROR(__xludf.dummyfunction("""COMPUTED_VALUE"""),"M. I. A. D. S")</f>
        <v>M. I. A. D. S</v>
      </c>
      <c r="F87" s="11" t="str">
        <f>IFERROR(__xludf.dummyfunction("""COMPUTED_VALUE"""),"13/02/2025")</f>
        <v>13/02/2025</v>
      </c>
      <c r="G87" s="11" t="str">
        <f>IFERROR(__xludf.dummyfunction("""COMPUTED_VALUE"""),"005******24")</f>
        <v>005******24</v>
      </c>
      <c r="H87" s="11" t="str">
        <f>IFERROR(__xludf.dummyfunction("""COMPUTED_VALUE"""),"INFANTIL 1")</f>
        <v>INFANTIL 1</v>
      </c>
      <c r="I87" s="12" t="str">
        <f>IFERROR(__xludf.dummyfunction("""COMPUTED_VALUE"""),"CENTRO MUNICIPAL DE EDUCAÇÃO INFANTIL MARCOS FREIRE")</f>
        <v>CENTRO MUNICIPAL DE EDUCAÇÃO INFANTIL MARCOS FREIRE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Height="1" spans="1:26">
      <c r="A88" s="3"/>
      <c r="B88" s="11" t="str">
        <f>IFERROR(__xludf.dummyfunction("""COMPUTED_VALUE"""),"REGIONAL 4")</f>
        <v>REGIONAL 4</v>
      </c>
      <c r="C88" s="11" t="str">
        <f>IFERROR(__xludf.dummyfunction("""COMPUTED_VALUE"""),"18/03/2026 11:00:34")</f>
        <v>18/03/2026 11:00:34</v>
      </c>
      <c r="D88" s="11" t="str">
        <f>IFERROR(__xludf.dummyfunction("""COMPUTED_VALUE"""),"5")</f>
        <v>5</v>
      </c>
      <c r="E88" s="11" t="str">
        <f>IFERROR(__xludf.dummyfunction("""COMPUTED_VALUE"""),"B. C. D. S. C")</f>
        <v>B. C. D. S. C</v>
      </c>
      <c r="F88" s="11" t="str">
        <f>IFERROR(__xludf.dummyfunction("""COMPUTED_VALUE"""),"28/05/2025")</f>
        <v>28/05/2025</v>
      </c>
      <c r="G88" s="11" t="str">
        <f>IFERROR(__xludf.dummyfunction("""COMPUTED_VALUE"""),"006******07")</f>
        <v>006******07</v>
      </c>
      <c r="H88" s="11" t="str">
        <f>IFERROR(__xludf.dummyfunction("""COMPUTED_VALUE"""),"INFANTIL 1")</f>
        <v>INFANTIL 1</v>
      </c>
      <c r="I88" s="12" t="str">
        <f>IFERROR(__xludf.dummyfunction("""COMPUTED_VALUE"""),"CENTRO MUNICIPAL DE EDUCAÇÃO INFANTIL MARCOS FREIRE")</f>
        <v>CENTRO MUNICIPAL DE EDUCAÇÃO INFANTIL MARCOS FREIRE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Height="1" spans="1:26">
      <c r="A89" s="3"/>
      <c r="B89" s="11" t="str">
        <f>IFERROR(__xludf.dummyfunction("""COMPUTED_VALUE"""),"REGIONAL 4")</f>
        <v>REGIONAL 4</v>
      </c>
      <c r="C89" s="11" t="str">
        <f>IFERROR(__xludf.dummyfunction("""COMPUTED_VALUE"""),"23/03/2026 12:20:04")</f>
        <v>23/03/2026 12:20:04</v>
      </c>
      <c r="D89" s="11" t="str">
        <f>IFERROR(__xludf.dummyfunction("""COMPUTED_VALUE"""),"6")</f>
        <v>6</v>
      </c>
      <c r="E89" s="11" t="str">
        <f>IFERROR(__xludf.dummyfunction("""COMPUTED_VALUE"""),"D. D. S")</f>
        <v>D. D. S</v>
      </c>
      <c r="F89" s="11" t="str">
        <f>IFERROR(__xludf.dummyfunction("""COMPUTED_VALUE"""),"09/04/2024")</f>
        <v>09/04/2024</v>
      </c>
      <c r="G89" s="11" t="str">
        <f>IFERROR(__xludf.dummyfunction("""COMPUTED_VALUE"""),"002******29")</f>
        <v>002******29</v>
      </c>
      <c r="H89" s="11" t="str">
        <f>IFERROR(__xludf.dummyfunction("""COMPUTED_VALUE"""),"INFANTIL 1")</f>
        <v>INFANTIL 1</v>
      </c>
      <c r="I89" s="12" t="str">
        <f>IFERROR(__xludf.dummyfunction("""COMPUTED_VALUE"""),"CENTRO MUNICIPAL DE EDUCAÇÃO INFANTIL MARCOS FREIRE")</f>
        <v>CENTRO MUNICIPAL DE EDUCAÇÃO INFANTIL MARCOS FREIRE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Height="1" spans="1:26">
      <c r="A90" s="3"/>
      <c r="B90" s="11" t="str">
        <f>IFERROR(__xludf.dummyfunction("""COMPUTED_VALUE"""),"REGIONAL 4")</f>
        <v>REGIONAL 4</v>
      </c>
      <c r="C90" s="11" t="str">
        <f>IFERROR(__xludf.dummyfunction("""COMPUTED_VALUE"""),"27/03/2026 14:19:05")</f>
        <v>27/03/2026 14:19:05</v>
      </c>
      <c r="D90" s="11" t="str">
        <f>IFERROR(__xludf.dummyfunction("""COMPUTED_VALUE"""),"7")</f>
        <v>7</v>
      </c>
      <c r="E90" s="11" t="str">
        <f>IFERROR(__xludf.dummyfunction("""COMPUTED_VALUE"""),"R. L. C. A. D. S")</f>
        <v>R. L. C. A. D. S</v>
      </c>
      <c r="F90" s="11" t="str">
        <f>IFERROR(__xludf.dummyfunction("""COMPUTED_VALUE"""),"05/12/2024")</f>
        <v>05/12/2024</v>
      </c>
      <c r="G90" s="11" t="str">
        <f>IFERROR(__xludf.dummyfunction("""COMPUTED_VALUE"""),"004******03")</f>
        <v>004******03</v>
      </c>
      <c r="H90" s="11" t="str">
        <f>IFERROR(__xludf.dummyfunction("""COMPUTED_VALUE"""),"INFANTIL 1")</f>
        <v>INFANTIL 1</v>
      </c>
      <c r="I90" s="12" t="str">
        <f>IFERROR(__xludf.dummyfunction("""COMPUTED_VALUE"""),"CENTRO MUNICIPAL DE EDUCAÇÃO INFANTIL MARCOS FREIRE")</f>
        <v>CENTRO MUNICIPAL DE EDUCAÇÃO INFANTIL MARCOS FREIRE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Height="1" spans="1:26">
      <c r="A91" s="3"/>
      <c r="B91" s="11" t="str">
        <f>IFERROR(__xludf.dummyfunction("""COMPUTED_VALUE"""),"REGIONAL 4")</f>
        <v>REGIONAL 4</v>
      </c>
      <c r="C91" s="11" t="str">
        <f>IFERROR(__xludf.dummyfunction("""COMPUTED_VALUE"""),"08/04/2026 10:45:14")</f>
        <v>08/04/2026 10:45:14</v>
      </c>
      <c r="D91" s="11" t="str">
        <f>IFERROR(__xludf.dummyfunction("""COMPUTED_VALUE"""),"8")</f>
        <v>8</v>
      </c>
      <c r="E91" s="11" t="str">
        <f>IFERROR(__xludf.dummyfunction("""COMPUTED_VALUE"""),"T. S. D. L")</f>
        <v>T. S. D. L</v>
      </c>
      <c r="F91" s="11" t="str">
        <f>IFERROR(__xludf.dummyfunction("""COMPUTED_VALUE"""),"28/10/2024")</f>
        <v>28/10/2024</v>
      </c>
      <c r="G91" s="11" t="str">
        <f>IFERROR(__xludf.dummyfunction("""COMPUTED_VALUE"""),"004******67")</f>
        <v>004******67</v>
      </c>
      <c r="H91" s="11" t="str">
        <f>IFERROR(__xludf.dummyfunction("""COMPUTED_VALUE"""),"INFANTIL 1")</f>
        <v>INFANTIL 1</v>
      </c>
      <c r="I91" s="12" t="str">
        <f>IFERROR(__xludf.dummyfunction("""COMPUTED_VALUE"""),"CENTRO MUNICIPAL DE EDUCAÇÃO INFANTIL MARCOS FREIRE")</f>
        <v>CENTRO MUNICIPAL DE EDUCAÇÃO INFANTIL MARCOS FREIRE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Height="1" spans="1:26">
      <c r="A92" s="3"/>
      <c r="B92" s="11" t="str">
        <f>IFERROR(__xludf.dummyfunction("""COMPUTED_VALUE"""),"REGIONAL 4")</f>
        <v>REGIONAL 4</v>
      </c>
      <c r="C92" s="11" t="str">
        <f>IFERROR(__xludf.dummyfunction("""COMPUTED_VALUE"""),"14/04/2026 09:51:21")</f>
        <v>14/04/2026 09:51:21</v>
      </c>
      <c r="D92" s="11" t="str">
        <f>IFERROR(__xludf.dummyfunction("""COMPUTED_VALUE"""),"9")</f>
        <v>9</v>
      </c>
      <c r="E92" s="11" t="str">
        <f>IFERROR(__xludf.dummyfunction("""COMPUTED_VALUE"""),"M. G. P. D. L")</f>
        <v>M. G. P. D. L</v>
      </c>
      <c r="F92" s="11" t="str">
        <f>IFERROR(__xludf.dummyfunction("""COMPUTED_VALUE"""),"25/08/2025")</f>
        <v>25/08/2025</v>
      </c>
      <c r="G92" s="11" t="str">
        <f>IFERROR(__xludf.dummyfunction("""COMPUTED_VALUE"""),"014******83")</f>
        <v>014******83</v>
      </c>
      <c r="H92" s="11" t="str">
        <f>IFERROR(__xludf.dummyfunction("""COMPUTED_VALUE"""),"INFANTIL 1")</f>
        <v>INFANTIL 1</v>
      </c>
      <c r="I92" s="12" t="str">
        <f>IFERROR(__xludf.dummyfunction("""COMPUTED_VALUE"""),"CENTRO MUNICIPAL DE EDUCAÇÃO INFANTIL MARCOS FREIRE")</f>
        <v>CENTRO MUNICIPAL DE EDUCAÇÃO INFANTIL MARCOS FREIRE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Height="1" spans="1:26">
      <c r="A93" s="3"/>
      <c r="B93" s="11" t="str">
        <f>IFERROR(__xludf.dummyfunction("""COMPUTED_VALUE"""),"REGIONAL 4")</f>
        <v>REGIONAL 4</v>
      </c>
      <c r="C93" s="11" t="str">
        <f>IFERROR(__xludf.dummyfunction("""COMPUTED_VALUE"""),"15/04/2026 16:58:08")</f>
        <v>15/04/2026 16:58:08</v>
      </c>
      <c r="D93" s="11" t="str">
        <f>IFERROR(__xludf.dummyfunction("""COMPUTED_VALUE"""),"10")</f>
        <v>10</v>
      </c>
      <c r="E93" s="11" t="str">
        <f>IFERROR(__xludf.dummyfunction("""COMPUTED_VALUE"""),"E. M. D. S")</f>
        <v>E. M. D. S</v>
      </c>
      <c r="F93" s="11" t="str">
        <f>IFERROR(__xludf.dummyfunction("""COMPUTED_VALUE"""),"12/02/2025")</f>
        <v>12/02/2025</v>
      </c>
      <c r="G93" s="11" t="str">
        <f>IFERROR(__xludf.dummyfunction("""COMPUTED_VALUE"""),"050******00")</f>
        <v>050******00</v>
      </c>
      <c r="H93" s="11" t="str">
        <f>IFERROR(__xludf.dummyfunction("""COMPUTED_VALUE"""),"INFANTIL 1")</f>
        <v>INFANTIL 1</v>
      </c>
      <c r="I93" s="12" t="str">
        <f>IFERROR(__xludf.dummyfunction("""COMPUTED_VALUE"""),"CENTRO MUNICIPAL DE EDUCAÇÃO INFANTIL MARCOS FREIRE")</f>
        <v>CENTRO MUNICIPAL DE EDUCAÇÃO INFANTIL MARCOS FREIRE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Height="1" spans="1:26">
      <c r="A94" s="3"/>
      <c r="B94" s="11" t="str">
        <f>IFERROR(__xludf.dummyfunction("""COMPUTED_VALUE"""),"REGIONAL 4")</f>
        <v>REGIONAL 4</v>
      </c>
      <c r="C94" s="11" t="str">
        <f>IFERROR(__xludf.dummyfunction("""COMPUTED_VALUE"""),"11/05/2026 14:39:32")</f>
        <v>11/05/2026 14:39:32</v>
      </c>
      <c r="D94" s="11" t="str">
        <f>IFERROR(__xludf.dummyfunction("""COMPUTED_VALUE"""),"11")</f>
        <v>11</v>
      </c>
      <c r="E94" s="11" t="str">
        <f>IFERROR(__xludf.dummyfunction("""COMPUTED_VALUE"""),"J. H. P. D. A")</f>
        <v>J. H. P. D. A</v>
      </c>
      <c r="F94" s="11" t="str">
        <f>IFERROR(__xludf.dummyfunction("""COMPUTED_VALUE"""),"11/07/2024")</f>
        <v>11/07/2024</v>
      </c>
      <c r="G94" s="11" t="str">
        <f>IFERROR(__xludf.dummyfunction("""COMPUTED_VALUE"""),"003******28")</f>
        <v>003******28</v>
      </c>
      <c r="H94" s="11" t="str">
        <f>IFERROR(__xludf.dummyfunction("""COMPUTED_VALUE"""),"INFANTIL 1")</f>
        <v>INFANTIL 1</v>
      </c>
      <c r="I94" s="12" t="str">
        <f>IFERROR(__xludf.dummyfunction("""COMPUTED_VALUE"""),"CENTRO MUNICIPAL DE EDUCAÇÃO INFANTIL MARCOS FREIRE")</f>
        <v>CENTRO MUNICIPAL DE EDUCAÇÃO INFANTIL MARCOS FREIRE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Height="1" spans="1:26">
      <c r="A95" s="3"/>
      <c r="B95" s="11" t="str">
        <f>IFERROR(__xludf.dummyfunction("""COMPUTED_VALUE"""),"REGIONAL 4")</f>
        <v>REGIONAL 4</v>
      </c>
      <c r="C95" s="11" t="str">
        <f>IFERROR(__xludf.dummyfunction("""COMPUTED_VALUE"""),"26/05/2026 13:30:04")</f>
        <v>26/05/2026 13:30:04</v>
      </c>
      <c r="D95" s="11" t="str">
        <f>IFERROR(__xludf.dummyfunction("""COMPUTED_VALUE"""),"12")</f>
        <v>12</v>
      </c>
      <c r="E95" s="11" t="str">
        <f>IFERROR(__xludf.dummyfunction("""COMPUTED_VALUE"""),"M. V. D. S. F")</f>
        <v>M. V. D. S. F</v>
      </c>
      <c r="F95" s="11" t="str">
        <f>IFERROR(__xludf.dummyfunction("""COMPUTED_VALUE"""),"14/05/2025")</f>
        <v>14/05/2025</v>
      </c>
      <c r="G95" s="11" t="str">
        <f>IFERROR(__xludf.dummyfunction("""COMPUTED_VALUE"""),"006******85")</f>
        <v>006******85</v>
      </c>
      <c r="H95" s="11" t="str">
        <f>IFERROR(__xludf.dummyfunction("""COMPUTED_VALUE"""),"INFANTIL 1")</f>
        <v>INFANTIL 1</v>
      </c>
      <c r="I95" s="12" t="str">
        <f>IFERROR(__xludf.dummyfunction("""COMPUTED_VALUE"""),"CENTRO MUNICIPAL DE EDUCAÇÃO INFANTIL MARCOS FREIRE")</f>
        <v>CENTRO MUNICIPAL DE EDUCAÇÃO INFANTIL MARCOS FREIRE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Height="1" spans="1:26">
      <c r="A96" s="3"/>
      <c r="B96" s="11" t="str">
        <f>IFERROR(__xludf.dummyfunction("""COMPUTED_VALUE"""),"REGIONAL 4")</f>
        <v>REGIONAL 4</v>
      </c>
      <c r="C96" s="11" t="str">
        <f>IFERROR(__xludf.dummyfunction("""COMPUTED_VALUE"""),"03/06/2026 08:39:17")</f>
        <v>03/06/2026 08:39:17</v>
      </c>
      <c r="D96" s="11" t="str">
        <f>IFERROR(__xludf.dummyfunction("""COMPUTED_VALUE"""),"13")</f>
        <v>13</v>
      </c>
      <c r="E96" s="11" t="str">
        <f>IFERROR(__xludf.dummyfunction("""COMPUTED_VALUE"""),"B. G. C. D. L")</f>
        <v>B. G. C. D. L</v>
      </c>
      <c r="F96" s="11" t="str">
        <f>IFERROR(__xludf.dummyfunction("""COMPUTED_VALUE"""),"21/07/2024")</f>
        <v>21/07/2024</v>
      </c>
      <c r="G96" s="11" t="str">
        <f>IFERROR(__xludf.dummyfunction("""COMPUTED_VALUE"""),"003******63")</f>
        <v>003******63</v>
      </c>
      <c r="H96" s="11" t="str">
        <f>IFERROR(__xludf.dummyfunction("""COMPUTED_VALUE"""),"INFANTIL 1")</f>
        <v>INFANTIL 1</v>
      </c>
      <c r="I96" s="12" t="str">
        <f>IFERROR(__xludf.dummyfunction("""COMPUTED_VALUE"""),"CENTRO MUNICIPAL DE EDUCAÇÃO INFANTIL MARCOS FREIRE")</f>
        <v>CENTRO MUNICIPAL DE EDUCAÇÃO INFANTIL MARCOS FREIRE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Height="1" spans="1:26">
      <c r="A97" s="3"/>
      <c r="B97" s="11" t="str">
        <f>IFERROR(__xludf.dummyfunction("""COMPUTED_VALUE"""),"REGIONAL 4")</f>
        <v>REGIONAL 4</v>
      </c>
      <c r="C97" s="11" t="str">
        <f>IFERROR(__xludf.dummyfunction("""COMPUTED_VALUE"""),"13/06/2026 12:51:02")</f>
        <v>13/06/2026 12:51:02</v>
      </c>
      <c r="D97" s="11" t="str">
        <f>IFERROR(__xludf.dummyfunction("""COMPUTED_VALUE"""),"14")</f>
        <v>14</v>
      </c>
      <c r="E97" s="11" t="str">
        <f>IFERROR(__xludf.dummyfunction("""COMPUTED_VALUE"""),"L. H. d. L. F")</f>
        <v>L. H. d. L. F</v>
      </c>
      <c r="F97" s="11" t="str">
        <f>IFERROR(__xludf.dummyfunction("""COMPUTED_VALUE"""),"29/05/2025")</f>
        <v>29/05/2025</v>
      </c>
      <c r="G97" s="11" t="str">
        <f>IFERROR(__xludf.dummyfunction("""COMPUTED_VALUE"""),"006******54")</f>
        <v>006******54</v>
      </c>
      <c r="H97" s="11" t="str">
        <f>IFERROR(__xludf.dummyfunction("""COMPUTED_VALUE"""),"INFANTIL 1")</f>
        <v>INFANTIL 1</v>
      </c>
      <c r="I97" s="12" t="str">
        <f>IFERROR(__xludf.dummyfunction("""COMPUTED_VALUE"""),"CENTRO MUNICIPAL DE EDUCAÇÃO INFANTIL MARCOS FREIRE")</f>
        <v>CENTRO MUNICIPAL DE EDUCAÇÃO INFANTIL MARCOS FREIRE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Height="1" spans="1:26">
      <c r="A98" s="3"/>
      <c r="B98" s="11" t="str">
        <f>IFERROR(__xludf.dummyfunction("""COMPUTED_VALUE"""),"REGIONAL 4")</f>
        <v>REGIONAL 4</v>
      </c>
      <c r="C98" s="11" t="str">
        <f>IFERROR(__xludf.dummyfunction("""COMPUTED_VALUE"""),"01/07/2026 15:14:07")</f>
        <v>01/07/2026 15:14:07</v>
      </c>
      <c r="D98" s="11" t="str">
        <f>IFERROR(__xludf.dummyfunction("""COMPUTED_VALUE"""),"15")</f>
        <v>15</v>
      </c>
      <c r="E98" s="11" t="str">
        <f>IFERROR(__xludf.dummyfunction("""COMPUTED_VALUE"""),"M. D. S. D. S")</f>
        <v>M. D. S. D. S</v>
      </c>
      <c r="F98" s="11" t="str">
        <f>IFERROR(__xludf.dummyfunction("""COMPUTED_VALUE"""),"12/01/2025")</f>
        <v>12/01/2025</v>
      </c>
      <c r="G98" s="11" t="str">
        <f>IFERROR(__xludf.dummyfunction("""COMPUTED_VALUE"""),"124******05")</f>
        <v>124******05</v>
      </c>
      <c r="H98" s="11" t="str">
        <f>IFERROR(__xludf.dummyfunction("""COMPUTED_VALUE"""),"INFANTIL 1")</f>
        <v>INFANTIL 1</v>
      </c>
      <c r="I98" s="12" t="str">
        <f>IFERROR(__xludf.dummyfunction("""COMPUTED_VALUE"""),"CENTRO MUNICIPAL DE EDUCAÇÃO INFANTIL MARCOS FREIRE")</f>
        <v>CENTRO MUNICIPAL DE EDUCAÇÃO INFANTIL MARCOS FREIRE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Height="1" spans="1:26">
      <c r="A99" s="3"/>
      <c r="B99" s="11" t="str">
        <f>IFERROR(__xludf.dummyfunction("""COMPUTED_VALUE"""),"REGIONAL 4")</f>
        <v>REGIONAL 4</v>
      </c>
      <c r="C99" s="11" t="str">
        <f>IFERROR(__xludf.dummyfunction("""COMPUTED_VALUE"""),"03/07/2026 16:18:13")</f>
        <v>03/07/2026 16:18:13</v>
      </c>
      <c r="D99" s="11" t="str">
        <f>IFERROR(__xludf.dummyfunction("""COMPUTED_VALUE"""),"16")</f>
        <v>16</v>
      </c>
      <c r="E99" s="11" t="str">
        <f>IFERROR(__xludf.dummyfunction("""COMPUTED_VALUE"""),"R. A. C. L")</f>
        <v>R. A. C. L</v>
      </c>
      <c r="F99" s="11" t="str">
        <f>IFERROR(__xludf.dummyfunction("""COMPUTED_VALUE"""),"26/07/2024")</f>
        <v>26/07/2024</v>
      </c>
      <c r="G99" s="11" t="str">
        <f>IFERROR(__xludf.dummyfunction("""COMPUTED_VALUE"""),"003******04")</f>
        <v>003******04</v>
      </c>
      <c r="H99" s="11" t="str">
        <f>IFERROR(__xludf.dummyfunction("""COMPUTED_VALUE"""),"INFANTIL 1")</f>
        <v>INFANTIL 1</v>
      </c>
      <c r="I99" s="12" t="str">
        <f>IFERROR(__xludf.dummyfunction("""COMPUTED_VALUE"""),"CENTRO MUNICIPAL DE EDUCAÇÃO INFANTIL MARCOS FREIRE")</f>
        <v>CENTRO MUNICIPAL DE EDUCAÇÃO INFANTIL MARCOS FREIRE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Height="1" spans="1:26">
      <c r="A100" s="3"/>
      <c r="B100" s="11" t="str">
        <f>IFERROR(__xludf.dummyfunction("""COMPUTED_VALUE"""),"REGIONAL 4")</f>
        <v>REGIONAL 4</v>
      </c>
      <c r="C100" s="11" t="str">
        <f>IFERROR(__xludf.dummyfunction("""COMPUTED_VALUE"""),"28/07/2026 10:16:21")</f>
        <v>28/07/2026 10:16:21</v>
      </c>
      <c r="D100" s="11" t="str">
        <f>IFERROR(__xludf.dummyfunction("""COMPUTED_VALUE"""),"17")</f>
        <v>17</v>
      </c>
      <c r="E100" s="11" t="str">
        <f>IFERROR(__xludf.dummyfunction("""COMPUTED_VALUE"""),"a. t. d. o")</f>
        <v>a. t. d. o</v>
      </c>
      <c r="F100" s="11" t="str">
        <f>IFERROR(__xludf.dummyfunction("""COMPUTED_VALUE"""),"25/04/2024")</f>
        <v>25/04/2024</v>
      </c>
      <c r="G100" s="11" t="str">
        <f>IFERROR(__xludf.dummyfunction("""COMPUTED_VALUE"""),"002******03")</f>
        <v>002******03</v>
      </c>
      <c r="H100" s="11" t="str">
        <f>IFERROR(__xludf.dummyfunction("""COMPUTED_VALUE"""),"INFANTIL 1")</f>
        <v>INFANTIL 1</v>
      </c>
      <c r="I100" s="12" t="str">
        <f>IFERROR(__xludf.dummyfunction("""COMPUTED_VALUE"""),"CENTRO MUNICIPAL DE EDUCAÇÃO INFANTIL MARCOS FREIRE")</f>
        <v>CENTRO MUNICIPAL DE EDUCAÇÃO INFANTIL MARCOS FREIRE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Height="1" spans="1:26">
      <c r="A101" s="3"/>
      <c r="B101" s="11" t="str">
        <f>IFERROR(__xludf.dummyfunction("""COMPUTED_VALUE"""),"REGIONAL 4")</f>
        <v>REGIONAL 4</v>
      </c>
      <c r="C101" s="11" t="str">
        <f>IFERROR(__xludf.dummyfunction("""COMPUTED_VALUE"""),"06/08/2026 14:52:11")</f>
        <v>06/08/2026 14:52:11</v>
      </c>
      <c r="D101" s="11" t="str">
        <f>IFERROR(__xludf.dummyfunction("""COMPUTED_VALUE"""),"18")</f>
        <v>18</v>
      </c>
      <c r="E101" s="11" t="str">
        <f>IFERROR(__xludf.dummyfunction("""COMPUTED_VALUE"""),"G. A. D. M")</f>
        <v>G. A. D. M</v>
      </c>
      <c r="F101" s="11" t="str">
        <f>IFERROR(__xludf.dummyfunction("""COMPUTED_VALUE"""),"20/01/2025")</f>
        <v>20/01/2025</v>
      </c>
      <c r="G101" s="11" t="str">
        <f>IFERROR(__xludf.dummyfunction("""COMPUTED_VALUE"""),"005******00")</f>
        <v>005******00</v>
      </c>
      <c r="H101" s="11" t="str">
        <f>IFERROR(__xludf.dummyfunction("""COMPUTED_VALUE"""),"INFANTIL 1")</f>
        <v>INFANTIL 1</v>
      </c>
      <c r="I101" s="12" t="str">
        <f>IFERROR(__xludf.dummyfunction("""COMPUTED_VALUE"""),"CENTRO MUNICIPAL DE EDUCAÇÃO INFANTIL MARCOS FREIRE")</f>
        <v>CENTRO MUNICIPAL DE EDUCAÇÃO INFANTIL MARCOS FREIRE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Height="1" spans="1:26">
      <c r="A102" s="3"/>
      <c r="B102" s="11" t="str">
        <f>IFERROR(__xludf.dummyfunction("""COMPUTED_VALUE"""),"REGIONAL 4")</f>
        <v>REGIONAL 4</v>
      </c>
      <c r="C102" s="11" t="str">
        <f>IFERROR(__xludf.dummyfunction("""COMPUTED_VALUE"""),"06/08/2026 16:03:25")</f>
        <v>06/08/2026 16:03:25</v>
      </c>
      <c r="D102" s="11" t="str">
        <f>IFERROR(__xludf.dummyfunction("""COMPUTED_VALUE"""),"19")</f>
        <v>19</v>
      </c>
      <c r="E102" s="11" t="str">
        <f>IFERROR(__xludf.dummyfunction("""COMPUTED_VALUE"""),"M. G. D. S. S")</f>
        <v>M. G. D. S. S</v>
      </c>
      <c r="F102" s="11" t="str">
        <f>IFERROR(__xludf.dummyfunction("""COMPUTED_VALUE"""),"07/08/2025")</f>
        <v>07/08/2025</v>
      </c>
      <c r="G102" s="11" t="str">
        <f>IFERROR(__xludf.dummyfunction("""COMPUTED_VALUE"""),"006******30")</f>
        <v>006******30</v>
      </c>
      <c r="H102" s="11" t="str">
        <f>IFERROR(__xludf.dummyfunction("""COMPUTED_VALUE"""),"INFANTIL 1")</f>
        <v>INFANTIL 1</v>
      </c>
      <c r="I102" s="12" t="str">
        <f>IFERROR(__xludf.dummyfunction("""COMPUTED_VALUE"""),"CENTRO MUNICIPAL DE EDUCAÇÃO INFANTIL MARCOS FREIRE")</f>
        <v>CENTRO MUNICIPAL DE EDUCAÇÃO INFANTIL MARCOS FREIRE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Height="1" spans="1:26">
      <c r="A103" s="3"/>
      <c r="B103" s="11" t="str">
        <f>IFERROR(__xludf.dummyfunction("""COMPUTED_VALUE"""),"REGIONAL 4")</f>
        <v>REGIONAL 4</v>
      </c>
      <c r="C103" s="11" t="str">
        <f>IFERROR(__xludf.dummyfunction("""COMPUTED_VALUE"""),"04/09/2026 12:15:39")</f>
        <v>04/09/2026 12:15:39</v>
      </c>
      <c r="D103" s="11" t="str">
        <f>IFERROR(__xludf.dummyfunction("""COMPUTED_VALUE"""),"20")</f>
        <v>20</v>
      </c>
      <c r="E103" s="11" t="str">
        <f>IFERROR(__xludf.dummyfunction("""COMPUTED_VALUE"""),"t. d. d. s")</f>
        <v>t. d. d. s</v>
      </c>
      <c r="F103" s="11" t="str">
        <f>IFERROR(__xludf.dummyfunction("""COMPUTED_VALUE"""),"11/03/2025")</f>
        <v>11/03/2025</v>
      </c>
      <c r="G103" s="11" t="str">
        <f>IFERROR(__xludf.dummyfunction("""COMPUTED_VALUE"""),"005******96")</f>
        <v>005******96</v>
      </c>
      <c r="H103" s="11" t="str">
        <f>IFERROR(__xludf.dummyfunction("""COMPUTED_VALUE"""),"INFANTIL 1")</f>
        <v>INFANTIL 1</v>
      </c>
      <c r="I103" s="12" t="str">
        <f>IFERROR(__xludf.dummyfunction("""COMPUTED_VALUE"""),"CENTRO MUNICIPAL DE EDUCAÇÃO INFANTIL MARCOS FREIRE")</f>
        <v>CENTRO MUNICIPAL DE EDUCAÇÃO INFANTIL MARCOS FREIRE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Height="1" spans="1:26">
      <c r="A104" s="3"/>
      <c r="B104" s="11" t="str">
        <f>IFERROR(__xludf.dummyfunction("""COMPUTED_VALUE"""),"REGIONAL 4")</f>
        <v>REGIONAL 4</v>
      </c>
      <c r="C104" s="11" t="str">
        <f>IFERROR(__xludf.dummyfunction("""COMPUTED_VALUE"""),"10/09/2026 17:24:43")</f>
        <v>10/09/2026 17:24:43</v>
      </c>
      <c r="D104" s="11" t="str">
        <f>IFERROR(__xludf.dummyfunction("""COMPUTED_VALUE"""),"21")</f>
        <v>21</v>
      </c>
      <c r="E104" s="11" t="str">
        <f>IFERROR(__xludf.dummyfunction("""COMPUTED_VALUE"""),"W. M. d. S")</f>
        <v>W. M. d. S</v>
      </c>
      <c r="F104" s="11" t="str">
        <f>IFERROR(__xludf.dummyfunction("""COMPUTED_VALUE"""),"18/06/2026")</f>
        <v>18/06/2026</v>
      </c>
      <c r="G104" s="11" t="str">
        <f>IFERROR(__xludf.dummyfunction("""COMPUTED_VALUE"""),"114******20")</f>
        <v>114******20</v>
      </c>
      <c r="H104" s="11" t="str">
        <f>IFERROR(__xludf.dummyfunction("""COMPUTED_VALUE"""),"INFANTIL 1")</f>
        <v>INFANTIL 1</v>
      </c>
      <c r="I104" s="12" t="str">
        <f>IFERROR(__xludf.dummyfunction("""COMPUTED_VALUE"""),"CENTRO MUNICIPAL DE EDUCAÇÃO INFANTIL MARCOS FREIRE")</f>
        <v>CENTRO MUNICIPAL DE EDUCAÇÃO INFANTIL MARCOS FREIRE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Height="1" spans="1:26">
      <c r="A105" s="3"/>
      <c r="B105" s="11" t="str">
        <f>IFERROR(__xludf.dummyfunction("""COMPUTED_VALUE"""),"REGIONAL 4")</f>
        <v>REGIONAL 4</v>
      </c>
      <c r="C105" s="11" t="str">
        <f>IFERROR(__xludf.dummyfunction("""COMPUTED_VALUE"""),"04/03/2026 14:46:15")</f>
        <v>04/03/2026 14:46:15</v>
      </c>
      <c r="D105" s="11" t="str">
        <f>IFERROR(__xludf.dummyfunction("""COMPUTED_VALUE"""),"1")</f>
        <v>1</v>
      </c>
      <c r="E105" s="11" t="str">
        <f>IFERROR(__xludf.dummyfunction("""COMPUTED_VALUE"""),"J. M. D. L. C")</f>
        <v>J. M. D. L. C</v>
      </c>
      <c r="F105" s="11" t="str">
        <f>IFERROR(__xludf.dummyfunction("""COMPUTED_VALUE"""),"22/07/2023")</f>
        <v>22/07/2023</v>
      </c>
      <c r="G105" s="11" t="str">
        <f>IFERROR(__xludf.dummyfunction("""COMPUTED_VALUE"""),"234******62")</f>
        <v>234******62</v>
      </c>
      <c r="H105" s="11" t="str">
        <f>IFERROR(__xludf.dummyfunction("""COMPUTED_VALUE"""),"INFANTIL 2")</f>
        <v>INFANTIL 2</v>
      </c>
      <c r="I105" s="12" t="str">
        <f>IFERROR(__xludf.dummyfunction("""COMPUTED_VALUE"""),"CENTRO MUNICIPAL DE EDUCAÇÃO INFANTIL MARCOS FREIRE")</f>
        <v>CENTRO MUNICIPAL DE EDUCAÇÃO INFANTIL MARCOS FREIRE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Height="1" spans="1:26">
      <c r="A106" s="3"/>
      <c r="B106" s="11" t="str">
        <f>IFERROR(__xludf.dummyfunction("""COMPUTED_VALUE"""),"REGIONAL 4")</f>
        <v>REGIONAL 4</v>
      </c>
      <c r="C106" s="11" t="str">
        <f>IFERROR(__xludf.dummyfunction("""COMPUTED_VALUE"""),"20/03/2026 08:02:42")</f>
        <v>20/03/2026 08:02:42</v>
      </c>
      <c r="D106" s="11" t="str">
        <f>IFERROR(__xludf.dummyfunction("""COMPUTED_VALUE"""),"2")</f>
        <v>2</v>
      </c>
      <c r="E106" s="11" t="str">
        <f>IFERROR(__xludf.dummyfunction("""COMPUTED_VALUE"""),"D. P. D. S. B")</f>
        <v>D. P. D. S. B</v>
      </c>
      <c r="F106" s="11" t="str">
        <f>IFERROR(__xludf.dummyfunction("""COMPUTED_VALUE"""),"17/01/2024")</f>
        <v>17/01/2024</v>
      </c>
      <c r="G106" s="11" t="str">
        <f>IFERROR(__xludf.dummyfunction("""COMPUTED_VALUE"""),"001******32")</f>
        <v>001******32</v>
      </c>
      <c r="H106" s="11" t="str">
        <f>IFERROR(__xludf.dummyfunction("""COMPUTED_VALUE"""),"INFANTIL 2")</f>
        <v>INFANTIL 2</v>
      </c>
      <c r="I106" s="12" t="str">
        <f>IFERROR(__xludf.dummyfunction("""COMPUTED_VALUE"""),"CENTRO MUNICIPAL DE EDUCAÇÃO INFANTIL MARCOS FREIRE")</f>
        <v>CENTRO MUNICIPAL DE EDUCAÇÃO INFANTIL MARCOS FREIRE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Height="1" spans="1:26">
      <c r="A107" s="3"/>
      <c r="B107" s="11" t="str">
        <f>IFERROR(__xludf.dummyfunction("""COMPUTED_VALUE"""),"REGIONAL 5")</f>
        <v>REGIONAL 5</v>
      </c>
      <c r="C107" s="11" t="str">
        <f>IFERROR(__xludf.dummyfunction("""COMPUTED_VALUE"""),"19/03/2026 08:46:18")</f>
        <v>19/03/2026 08:46:18</v>
      </c>
      <c r="D107" s="11" t="str">
        <f>IFERROR(__xludf.dummyfunction("""COMPUTED_VALUE"""),"2")</f>
        <v>2</v>
      </c>
      <c r="E107" s="11" t="str">
        <f>IFERROR(__xludf.dummyfunction("""COMPUTED_VALUE"""),"M. F. D. L")</f>
        <v>M. F. D. L</v>
      </c>
      <c r="F107" s="11" t="str">
        <f>IFERROR(__xludf.dummyfunction("""COMPUTED_VALUE"""),"16/12/2024")</f>
        <v>16/12/2024</v>
      </c>
      <c r="G107" s="11" t="str">
        <f>IFERROR(__xludf.dummyfunction("""COMPUTED_VALUE"""),"004******97")</f>
        <v>004******97</v>
      </c>
      <c r="H107" s="11" t="str">
        <f>IFERROR(__xludf.dummyfunction("""COMPUTED_VALUE"""),"INFANTIL 1")</f>
        <v>INFANTIL 1</v>
      </c>
      <c r="I107" s="12" t="str">
        <f>IFERROR(__xludf.dummyfunction("""COMPUTED_VALUE"""),"CEMEI PROFª MARIA LUZIA RIO LIMA")</f>
        <v>CEMEI PROFª MARIA LUZIA RIO LIMA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Height="1" spans="1:26">
      <c r="A108" s="3"/>
      <c r="B108" s="11" t="str">
        <f>IFERROR(__xludf.dummyfunction("""COMPUTED_VALUE"""),"REGIONAL 5")</f>
        <v>REGIONAL 5</v>
      </c>
      <c r="C108" s="11" t="str">
        <f>IFERROR(__xludf.dummyfunction("""COMPUTED_VALUE"""),"06/05/2026 15:38:45")</f>
        <v>06/05/2026 15:38:45</v>
      </c>
      <c r="D108" s="11" t="str">
        <f>IFERROR(__xludf.dummyfunction("""COMPUTED_VALUE"""),"3")</f>
        <v>3</v>
      </c>
      <c r="E108" s="11" t="str">
        <f>IFERROR(__xludf.dummyfunction("""COMPUTED_VALUE"""),"E. L. F. D. S")</f>
        <v>E. L. F. D. S</v>
      </c>
      <c r="F108" s="11" t="str">
        <f>IFERROR(__xludf.dummyfunction("""COMPUTED_VALUE"""),"05/09/2024")</f>
        <v>05/09/2024</v>
      </c>
      <c r="G108" s="11" t="str">
        <f>IFERROR(__xludf.dummyfunction("""COMPUTED_VALUE"""),"118******81")</f>
        <v>118******81</v>
      </c>
      <c r="H108" s="11" t="str">
        <f>IFERROR(__xludf.dummyfunction("""COMPUTED_VALUE"""),"INFANTIL 1")</f>
        <v>INFANTIL 1</v>
      </c>
      <c r="I108" s="12" t="str">
        <f>IFERROR(__xludf.dummyfunction("""COMPUTED_VALUE"""),"CEMEI PROFª MARIA LUZIA RIO LIMA")</f>
        <v>CEMEI PROFª MARIA LUZIA RIO LIMA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Height="1" spans="1:26">
      <c r="A109" s="3"/>
      <c r="B109" s="11" t="str">
        <f>IFERROR(__xludf.dummyfunction("""COMPUTED_VALUE"""),"REGIONAL 5")</f>
        <v>REGIONAL 5</v>
      </c>
      <c r="C109" s="11" t="str">
        <f>IFERROR(__xludf.dummyfunction("""COMPUTED_VALUE"""),"10/06/2026 16:57:35")</f>
        <v>10/06/2026 16:57:35</v>
      </c>
      <c r="D109" s="11" t="str">
        <f>IFERROR(__xludf.dummyfunction("""COMPUTED_VALUE"""),"4")</f>
        <v>4</v>
      </c>
      <c r="E109" s="11" t="str">
        <f>IFERROR(__xludf.dummyfunction("""COMPUTED_VALUE"""),"E. S. d. m")</f>
        <v>E. S. d. m</v>
      </c>
      <c r="F109" s="11" t="str">
        <f>IFERROR(__xludf.dummyfunction("""COMPUTED_VALUE"""),"19/09/2024")</f>
        <v>19/09/2024</v>
      </c>
      <c r="G109" s="11" t="str">
        <f>IFERROR(__xludf.dummyfunction("""COMPUTED_VALUE"""),"004******08")</f>
        <v>004******08</v>
      </c>
      <c r="H109" s="11" t="str">
        <f>IFERROR(__xludf.dummyfunction("""COMPUTED_VALUE"""),"INFANTIL 1")</f>
        <v>INFANTIL 1</v>
      </c>
      <c r="I109" s="12" t="str">
        <f>IFERROR(__xludf.dummyfunction("""COMPUTED_VALUE"""),"CEMEI PROFª MARIA LUZIA RIO LIMA")</f>
        <v>CEMEI PROFª MARIA LUZIA RIO LIMA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Height="1" spans="1:26">
      <c r="A110" s="3"/>
      <c r="B110" s="11" t="str">
        <f>IFERROR(__xludf.dummyfunction("""COMPUTED_VALUE"""),"REGIONAL 5")</f>
        <v>REGIONAL 5</v>
      </c>
      <c r="C110" s="11" t="str">
        <f>IFERROR(__xludf.dummyfunction("""COMPUTED_VALUE"""),"10/06/2026 17:01:25")</f>
        <v>10/06/2026 17:01:25</v>
      </c>
      <c r="D110" s="11" t="str">
        <f>IFERROR(__xludf.dummyfunction("""COMPUTED_VALUE"""),"5")</f>
        <v>5</v>
      </c>
      <c r="E110" s="11" t="str">
        <f>IFERROR(__xludf.dummyfunction("""COMPUTED_VALUE"""),"D. S. d. M")</f>
        <v>D. S. d. M</v>
      </c>
      <c r="F110" s="11" t="str">
        <f>IFERROR(__xludf.dummyfunction("""COMPUTED_VALUE"""),"19/09/2024")</f>
        <v>19/09/2024</v>
      </c>
      <c r="G110" s="11" t="str">
        <f>IFERROR(__xludf.dummyfunction("""COMPUTED_VALUE"""),"004******92")</f>
        <v>004******92</v>
      </c>
      <c r="H110" s="11" t="str">
        <f>IFERROR(__xludf.dummyfunction("""COMPUTED_VALUE"""),"INFANTIL 1")</f>
        <v>INFANTIL 1</v>
      </c>
      <c r="I110" s="12" t="str">
        <f>IFERROR(__xludf.dummyfunction("""COMPUTED_VALUE"""),"CEMEI PROFª MARIA LUZIA RIO LIMA")</f>
        <v>CEMEI PROFª MARIA LUZIA RIO LIMA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Height="1" spans="1:26">
      <c r="A111" s="3"/>
      <c r="B111" s="11" t="str">
        <f>IFERROR(__xludf.dummyfunction("""COMPUTED_VALUE"""),"REGIONAL 5")</f>
        <v>REGIONAL 5</v>
      </c>
      <c r="C111" s="11" t="str">
        <f>IFERROR(__xludf.dummyfunction("""COMPUTED_VALUE"""),"28/01/2026 08:08:37")</f>
        <v>28/01/2026 08:08:37</v>
      </c>
      <c r="D111" s="11" t="str">
        <f>IFERROR(__xludf.dummyfunction("""COMPUTED_VALUE"""),"1")</f>
        <v>1</v>
      </c>
      <c r="E111" s="11" t="str">
        <f>IFERROR(__xludf.dummyfunction("""COMPUTED_VALUE"""),"B. A. C. S")</f>
        <v>B. A. C. S</v>
      </c>
      <c r="F111" s="11" t="str">
        <f>IFERROR(__xludf.dummyfunction("""COMPUTED_VALUE"""),"13/09/2024")</f>
        <v>13/09/2024</v>
      </c>
      <c r="G111" s="11" t="str">
        <f>IFERROR(__xludf.dummyfunction("""COMPUTED_VALUE"""),"004******74")</f>
        <v>004******74</v>
      </c>
      <c r="H111" s="11" t="str">
        <f>IFERROR(__xludf.dummyfunction("""COMPUTED_VALUE"""),"INFANTIL 1")</f>
        <v>INFANTIL 1</v>
      </c>
      <c r="I111" s="12" t="str">
        <f>IFERROR(__xludf.dummyfunction("""COMPUTED_VALUE"""),"CEMEI PROFESSORA LINDOMAR DOMINGOS DA SILVA ANJOS")</f>
        <v>CEMEI PROFESSORA LINDOMAR DOMINGOS DA SILVA ANJOS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Height="1" spans="1:26">
      <c r="A112" s="3"/>
      <c r="B112" s="11" t="str">
        <f>IFERROR(__xludf.dummyfunction("""COMPUTED_VALUE"""),"REGIONAL 5")</f>
        <v>REGIONAL 5</v>
      </c>
      <c r="C112" s="11" t="str">
        <f>IFERROR(__xludf.dummyfunction("""COMPUTED_VALUE"""),"28/01/2026 08:11:25")</f>
        <v>28/01/2026 08:11:25</v>
      </c>
      <c r="D112" s="11" t="str">
        <f>IFERROR(__xludf.dummyfunction("""COMPUTED_VALUE"""),"2")</f>
        <v>2</v>
      </c>
      <c r="E112" s="11" t="str">
        <f>IFERROR(__xludf.dummyfunction("""COMPUTED_VALUE"""),"A. L. C. D. S. M")</f>
        <v>A. L. C. D. S. M</v>
      </c>
      <c r="F112" s="11" t="str">
        <f>IFERROR(__xludf.dummyfunction("""COMPUTED_VALUE"""),"20/04/2024")</f>
        <v>20/04/2024</v>
      </c>
      <c r="G112" s="11" t="str">
        <f>IFERROR(__xludf.dummyfunction("""COMPUTED_VALUE"""),"170******77")</f>
        <v>170******77</v>
      </c>
      <c r="H112" s="11" t="str">
        <f>IFERROR(__xludf.dummyfunction("""COMPUTED_VALUE"""),"INFANTIL 1")</f>
        <v>INFANTIL 1</v>
      </c>
      <c r="I112" s="12" t="str">
        <f>IFERROR(__xludf.dummyfunction("""COMPUTED_VALUE"""),"CEMEI PROFESSORA LINDOMAR DOMINGOS DA SILVA ANJOS")</f>
        <v>CEMEI PROFESSORA LINDOMAR DOMINGOS DA SILVA ANJOS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Height="1" spans="1:26">
      <c r="A113" s="3"/>
      <c r="B113" s="11" t="str">
        <f>IFERROR(__xludf.dummyfunction("""COMPUTED_VALUE"""),"REGIONAL 5")</f>
        <v>REGIONAL 5</v>
      </c>
      <c r="C113" s="11" t="str">
        <f>IFERROR(__xludf.dummyfunction("""COMPUTED_VALUE"""),"28/01/2026 08:13:45")</f>
        <v>28/01/2026 08:13:45</v>
      </c>
      <c r="D113" s="11" t="str">
        <f>IFERROR(__xludf.dummyfunction("""COMPUTED_VALUE"""),"3")</f>
        <v>3</v>
      </c>
      <c r="E113" s="11" t="str">
        <f>IFERROR(__xludf.dummyfunction("""COMPUTED_VALUE"""),"G. L. C. D. S")</f>
        <v>G. L. C. D. S</v>
      </c>
      <c r="F113" s="11" t="str">
        <f>IFERROR(__xludf.dummyfunction("""COMPUTED_VALUE"""),"18/07/2024")</f>
        <v>18/07/2024</v>
      </c>
      <c r="G113" s="11" t="str">
        <f>IFERROR(__xludf.dummyfunction("""COMPUTED_VALUE"""),"003******31")</f>
        <v>003******31</v>
      </c>
      <c r="H113" s="11" t="str">
        <f>IFERROR(__xludf.dummyfunction("""COMPUTED_VALUE"""),"INFANTIL 1")</f>
        <v>INFANTIL 1</v>
      </c>
      <c r="I113" s="12" t="str">
        <f>IFERROR(__xludf.dummyfunction("""COMPUTED_VALUE"""),"CEMEI PROFESSORA LINDOMAR DOMINGOS DA SILVA ANJOS")</f>
        <v>CEMEI PROFESSORA LINDOMAR DOMINGOS DA SILVA ANJOS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Height="1" spans="1:26">
      <c r="A114" s="3"/>
      <c r="B114" s="11" t="str">
        <f>IFERROR(__xludf.dummyfunction("""COMPUTED_VALUE"""),"REGIONAL 5")</f>
        <v>REGIONAL 5</v>
      </c>
      <c r="C114" s="11" t="str">
        <f>IFERROR(__xludf.dummyfunction("""COMPUTED_VALUE"""),"28/01/2026 08:25:22")</f>
        <v>28/01/2026 08:25:22</v>
      </c>
      <c r="D114" s="11" t="str">
        <f>IFERROR(__xludf.dummyfunction("""COMPUTED_VALUE"""),"4")</f>
        <v>4</v>
      </c>
      <c r="E114" s="11" t="str">
        <f>IFERROR(__xludf.dummyfunction("""COMPUTED_VALUE"""),"H. M. B. D. S")</f>
        <v>H. M. B. D. S</v>
      </c>
      <c r="F114" s="11" t="str">
        <f>IFERROR(__xludf.dummyfunction("""COMPUTED_VALUE"""),"02/11/2024")</f>
        <v>02/11/2024</v>
      </c>
      <c r="G114" s="11" t="str">
        <f>IFERROR(__xludf.dummyfunction("""COMPUTED_VALUE"""),"004******61")</f>
        <v>004******61</v>
      </c>
      <c r="H114" s="11" t="str">
        <f>IFERROR(__xludf.dummyfunction("""COMPUTED_VALUE"""),"INFANTIL 1")</f>
        <v>INFANTIL 1</v>
      </c>
      <c r="I114" s="12" t="str">
        <f>IFERROR(__xludf.dummyfunction("""COMPUTED_VALUE"""),"CEMEI PROFESSORA LINDOMAR DOMINGOS DA SILVA ANJOS")</f>
        <v>CEMEI PROFESSORA LINDOMAR DOMINGOS DA SILVA ANJOS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Height="1" spans="1:26">
      <c r="A115" s="3"/>
      <c r="B115" s="11" t="str">
        <f>IFERROR(__xludf.dummyfunction("""COMPUTED_VALUE"""),"REGIONAL 5")</f>
        <v>REGIONAL 5</v>
      </c>
      <c r="C115" s="11" t="str">
        <f>IFERROR(__xludf.dummyfunction("""COMPUTED_VALUE"""),"28/01/2026 09:18:21")</f>
        <v>28/01/2026 09:18:21</v>
      </c>
      <c r="D115" s="11" t="str">
        <f>IFERROR(__xludf.dummyfunction("""COMPUTED_VALUE"""),"5")</f>
        <v>5</v>
      </c>
      <c r="E115" s="11" t="str">
        <f>IFERROR(__xludf.dummyfunction("""COMPUTED_VALUE"""),"H. F. M. D. S")</f>
        <v>H. F. M. D. S</v>
      </c>
      <c r="F115" s="11" t="str">
        <f>IFERROR(__xludf.dummyfunction("""COMPUTED_VALUE"""),"15/01/2025")</f>
        <v>15/01/2025</v>
      </c>
      <c r="G115" s="11" t="str">
        <f>IFERROR(__xludf.dummyfunction("""COMPUTED_VALUE"""),"005******11")</f>
        <v>005******11</v>
      </c>
      <c r="H115" s="11" t="str">
        <f>IFERROR(__xludf.dummyfunction("""COMPUTED_VALUE"""),"INFANTIL 1")</f>
        <v>INFANTIL 1</v>
      </c>
      <c r="I115" s="12" t="str">
        <f>IFERROR(__xludf.dummyfunction("""COMPUTED_VALUE"""),"CEMEI PROFESSORA LINDOMAR DOMINGOS DA SILVA ANJOS")</f>
        <v>CEMEI PROFESSORA LINDOMAR DOMINGOS DA SILVA ANJOS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Height="1" spans="1:26">
      <c r="A116" s="3"/>
      <c r="B116" s="11" t="str">
        <f>IFERROR(__xludf.dummyfunction("""COMPUTED_VALUE"""),"REGIONAL 5")</f>
        <v>REGIONAL 5</v>
      </c>
      <c r="C116" s="11" t="str">
        <f>IFERROR(__xludf.dummyfunction("""COMPUTED_VALUE"""),"28/01/2026 09:33:11")</f>
        <v>28/01/2026 09:33:11</v>
      </c>
      <c r="D116" s="11" t="str">
        <f>IFERROR(__xludf.dummyfunction("""COMPUTED_VALUE"""),"6")</f>
        <v>6</v>
      </c>
      <c r="E116" s="11" t="str">
        <f>IFERROR(__xludf.dummyfunction("""COMPUTED_VALUE"""),"J. E. D. S")</f>
        <v>J. E. D. S</v>
      </c>
      <c r="F116" s="11" t="str">
        <f>IFERROR(__xludf.dummyfunction("""COMPUTED_VALUE"""),"23/06/2024")</f>
        <v>23/06/2024</v>
      </c>
      <c r="G116" s="11" t="str">
        <f>IFERROR(__xludf.dummyfunction("""COMPUTED_VALUE"""),"004******68")</f>
        <v>004******68</v>
      </c>
      <c r="H116" s="11" t="str">
        <f>IFERROR(__xludf.dummyfunction("""COMPUTED_VALUE"""),"INFANTIL 1")</f>
        <v>INFANTIL 1</v>
      </c>
      <c r="I116" s="12" t="str">
        <f>IFERROR(__xludf.dummyfunction("""COMPUTED_VALUE"""),"CEMEI PROFESSORA LINDOMAR DOMINGOS DA SILVA ANJOS")</f>
        <v>CEMEI PROFESSORA LINDOMAR DOMINGOS DA SILVA ANJOS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Height="1" spans="1:26">
      <c r="A117" s="3"/>
      <c r="B117" s="11" t="str">
        <f>IFERROR(__xludf.dummyfunction("""COMPUTED_VALUE"""),"REGIONAL 5")</f>
        <v>REGIONAL 5</v>
      </c>
      <c r="C117" s="11" t="str">
        <f>IFERROR(__xludf.dummyfunction("""COMPUTED_VALUE"""),"28/01/2026 09:38:34")</f>
        <v>28/01/2026 09:38:34</v>
      </c>
      <c r="D117" s="11" t="str">
        <f>IFERROR(__xludf.dummyfunction("""COMPUTED_VALUE"""),"7")</f>
        <v>7</v>
      </c>
      <c r="E117" s="11" t="str">
        <f>IFERROR(__xludf.dummyfunction("""COMPUTED_VALUE"""),"A. G. F. S")</f>
        <v>A. G. F. S</v>
      </c>
      <c r="F117" s="11" t="str">
        <f>IFERROR(__xludf.dummyfunction("""COMPUTED_VALUE"""),"31/05/2024")</f>
        <v>31/05/2024</v>
      </c>
      <c r="G117" s="11" t="str">
        <f>IFERROR(__xludf.dummyfunction("""COMPUTED_VALUE"""),"003******24")</f>
        <v>003******24</v>
      </c>
      <c r="H117" s="11" t="str">
        <f>IFERROR(__xludf.dummyfunction("""COMPUTED_VALUE"""),"INFANTIL 1")</f>
        <v>INFANTIL 1</v>
      </c>
      <c r="I117" s="12" t="str">
        <f>IFERROR(__xludf.dummyfunction("""COMPUTED_VALUE"""),"CEMEI PROFESSORA LINDOMAR DOMINGOS DA SILVA ANJOS")</f>
        <v>CEMEI PROFESSORA LINDOMAR DOMINGOS DA SILVA ANJOS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Height="1" spans="1:26">
      <c r="A118" s="3"/>
      <c r="B118" s="11" t="str">
        <f>IFERROR(__xludf.dummyfunction("""COMPUTED_VALUE"""),"REGIONAL 5")</f>
        <v>REGIONAL 5</v>
      </c>
      <c r="C118" s="11" t="str">
        <f>IFERROR(__xludf.dummyfunction("""COMPUTED_VALUE"""),"28/01/2026 10:45:36")</f>
        <v>28/01/2026 10:45:36</v>
      </c>
      <c r="D118" s="11" t="str">
        <f>IFERROR(__xludf.dummyfunction("""COMPUTED_VALUE"""),"8")</f>
        <v>8</v>
      </c>
      <c r="E118" s="11" t="str">
        <f>IFERROR(__xludf.dummyfunction("""COMPUTED_VALUE"""),"T. M. D. S")</f>
        <v>T. M. D. S</v>
      </c>
      <c r="F118" s="11" t="str">
        <f>IFERROR(__xludf.dummyfunction("""COMPUTED_VALUE"""),"25/11/2024")</f>
        <v>25/11/2024</v>
      </c>
      <c r="G118" s="11" t="str">
        <f>IFERROR(__xludf.dummyfunction("""COMPUTED_VALUE"""),"004******16")</f>
        <v>004******16</v>
      </c>
      <c r="H118" s="11" t="str">
        <f>IFERROR(__xludf.dummyfunction("""COMPUTED_VALUE"""),"INFANTIL 1")</f>
        <v>INFANTIL 1</v>
      </c>
      <c r="I118" s="12" t="str">
        <f>IFERROR(__xludf.dummyfunction("""COMPUTED_VALUE"""),"CEMEI PROFESSORA LINDOMAR DOMINGOS DA SILVA ANJOS")</f>
        <v>CEMEI PROFESSORA LINDOMAR DOMINGOS DA SILVA ANJOS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Height="1" spans="1:26">
      <c r="A119" s="3"/>
      <c r="B119" s="11" t="str">
        <f>IFERROR(__xludf.dummyfunction("""COMPUTED_VALUE"""),"REGIONAL 5")</f>
        <v>REGIONAL 5</v>
      </c>
      <c r="C119" s="11" t="str">
        <f>IFERROR(__xludf.dummyfunction("""COMPUTED_VALUE"""),"28/01/2026 12:49:55")</f>
        <v>28/01/2026 12:49:55</v>
      </c>
      <c r="D119" s="11" t="str">
        <f>IFERROR(__xludf.dummyfunction("""COMPUTED_VALUE"""),"9")</f>
        <v>9</v>
      </c>
      <c r="E119" s="11" t="str">
        <f>IFERROR(__xludf.dummyfunction("""COMPUTED_VALUE"""),"K. C. F. S. D. S")</f>
        <v>K. C. F. S. D. S</v>
      </c>
      <c r="F119" s="11" t="str">
        <f>IFERROR(__xludf.dummyfunction("""COMPUTED_VALUE"""),"10/09/2024")</f>
        <v>10/09/2024</v>
      </c>
      <c r="G119" s="11" t="str">
        <f>IFERROR(__xludf.dummyfunction("""COMPUTED_VALUE"""),"004******30")</f>
        <v>004******30</v>
      </c>
      <c r="H119" s="11" t="str">
        <f>IFERROR(__xludf.dummyfunction("""COMPUTED_VALUE"""),"INFANTIL 1")</f>
        <v>INFANTIL 1</v>
      </c>
      <c r="I119" s="12" t="str">
        <f>IFERROR(__xludf.dummyfunction("""COMPUTED_VALUE"""),"CEMEI PROFESSORA LINDOMAR DOMINGOS DA SILVA ANJOS")</f>
        <v>CEMEI PROFESSORA LINDOMAR DOMINGOS DA SILVA ANJOS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Height="1" spans="1:26">
      <c r="A120" s="3"/>
      <c r="B120" s="11" t="str">
        <f>IFERROR(__xludf.dummyfunction("""COMPUTED_VALUE"""),"REGIONAL 5")</f>
        <v>REGIONAL 5</v>
      </c>
      <c r="C120" s="11" t="str">
        <f>IFERROR(__xludf.dummyfunction("""COMPUTED_VALUE"""),"28/01/2026 20:34:21")</f>
        <v>28/01/2026 20:34:21</v>
      </c>
      <c r="D120" s="11" t="str">
        <f>IFERROR(__xludf.dummyfunction("""COMPUTED_VALUE"""),"10")</f>
        <v>10</v>
      </c>
      <c r="E120" s="11" t="str">
        <f>IFERROR(__xludf.dummyfunction("""COMPUTED_VALUE"""),"L. H. P. D. S")</f>
        <v>L. H. P. D. S</v>
      </c>
      <c r="F120" s="11" t="str">
        <f>IFERROR(__xludf.dummyfunction("""COMPUTED_VALUE"""),"01/04/2024")</f>
        <v>01/04/2024</v>
      </c>
      <c r="G120" s="11" t="str">
        <f>IFERROR(__xludf.dummyfunction("""COMPUTED_VALUE"""),"002******69")</f>
        <v>002******69</v>
      </c>
      <c r="H120" s="11" t="str">
        <f>IFERROR(__xludf.dummyfunction("""COMPUTED_VALUE"""),"INFANTIL 1")</f>
        <v>INFANTIL 1</v>
      </c>
      <c r="I120" s="12" t="str">
        <f>IFERROR(__xludf.dummyfunction("""COMPUTED_VALUE"""),"CEMEI PROFESSORA LINDOMAR DOMINGOS DA SILVA ANJOS")</f>
        <v>CEMEI PROFESSORA LINDOMAR DOMINGOS DA SILVA ANJOS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Height="1" spans="1:26">
      <c r="A121" s="3"/>
      <c r="B121" s="11" t="str">
        <f>IFERROR(__xludf.dummyfunction("""COMPUTED_VALUE"""),"REGIONAL 5")</f>
        <v>REGIONAL 5</v>
      </c>
      <c r="C121" s="11" t="str">
        <f>IFERROR(__xludf.dummyfunction("""COMPUTED_VALUE"""),"06/02/2026 14:12:06")</f>
        <v>06/02/2026 14:12:06</v>
      </c>
      <c r="D121" s="11" t="str">
        <f>IFERROR(__xludf.dummyfunction("""COMPUTED_VALUE"""),"11")</f>
        <v>11</v>
      </c>
      <c r="E121" s="11" t="str">
        <f>IFERROR(__xludf.dummyfunction("""COMPUTED_VALUE"""),"V. M. D. S. F")</f>
        <v>V. M. D. S. F</v>
      </c>
      <c r="F121" s="11" t="str">
        <f>IFERROR(__xludf.dummyfunction("""COMPUTED_VALUE"""),"16/04/2024")</f>
        <v>16/04/2024</v>
      </c>
      <c r="G121" s="11" t="str">
        <f>IFERROR(__xludf.dummyfunction("""COMPUTED_VALUE"""),"003******09")</f>
        <v>003******09</v>
      </c>
      <c r="H121" s="11" t="str">
        <f>IFERROR(__xludf.dummyfunction("""COMPUTED_VALUE"""),"INFANTIL 1")</f>
        <v>INFANTIL 1</v>
      </c>
      <c r="I121" s="12" t="str">
        <f>IFERROR(__xludf.dummyfunction("""COMPUTED_VALUE"""),"CEMEI PROFESSORA LINDOMAR DOMINGOS DA SILVA ANJOS")</f>
        <v>CEMEI PROFESSORA LINDOMAR DOMINGOS DA SILVA ANJOS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Height="1" spans="1:26">
      <c r="A122" s="3"/>
      <c r="B122" s="11" t="str">
        <f>IFERROR(__xludf.dummyfunction("""COMPUTED_VALUE"""),"REGIONAL 5")</f>
        <v>REGIONAL 5</v>
      </c>
      <c r="C122" s="11" t="str">
        <f>IFERROR(__xludf.dummyfunction("""COMPUTED_VALUE"""),"11/02/2026 09:26:12")</f>
        <v>11/02/2026 09:26:12</v>
      </c>
      <c r="D122" s="11" t="str">
        <f>IFERROR(__xludf.dummyfunction("""COMPUTED_VALUE"""),"12")</f>
        <v>12</v>
      </c>
      <c r="E122" s="11" t="str">
        <f>IFERROR(__xludf.dummyfunction("""COMPUTED_VALUE"""),"K. I. D. S. S")</f>
        <v>K. I. D. S. S</v>
      </c>
      <c r="F122" s="11" t="str">
        <f>IFERROR(__xludf.dummyfunction("""COMPUTED_VALUE"""),"13/09/2024")</f>
        <v>13/09/2024</v>
      </c>
      <c r="G122" s="11" t="str">
        <f>IFERROR(__xludf.dummyfunction("""COMPUTED_VALUE"""),"004******62")</f>
        <v>004******62</v>
      </c>
      <c r="H122" s="11" t="str">
        <f>IFERROR(__xludf.dummyfunction("""COMPUTED_VALUE"""),"INFANTIL 1")</f>
        <v>INFANTIL 1</v>
      </c>
      <c r="I122" s="12" t="str">
        <f>IFERROR(__xludf.dummyfunction("""COMPUTED_VALUE"""),"CEMEI PROFESSORA LINDOMAR DOMINGOS DA SILVA ANJOS")</f>
        <v>CEMEI PROFESSORA LINDOMAR DOMINGOS DA SILVA ANJOS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Height="1" spans="1:26">
      <c r="A123" s="3"/>
      <c r="B123" s="11" t="str">
        <f>IFERROR(__xludf.dummyfunction("""COMPUTED_VALUE"""),"REGIONAL 5")</f>
        <v>REGIONAL 5</v>
      </c>
      <c r="C123" s="11" t="str">
        <f>IFERROR(__xludf.dummyfunction("""COMPUTED_VALUE"""),"26/02/2026 23:54:06")</f>
        <v>26/02/2026 23:54:06</v>
      </c>
      <c r="D123" s="11" t="str">
        <f>IFERROR(__xludf.dummyfunction("""COMPUTED_VALUE"""),"13")</f>
        <v>13</v>
      </c>
      <c r="E123" s="11" t="str">
        <f>IFERROR(__xludf.dummyfunction("""COMPUTED_VALUE"""),"A. M. D. S. R")</f>
        <v>A. M. D. S. R</v>
      </c>
      <c r="F123" s="11" t="str">
        <f>IFERROR(__xludf.dummyfunction("""COMPUTED_VALUE"""),"21/01/2025")</f>
        <v>21/01/2025</v>
      </c>
      <c r="G123" s="11" t="str">
        <f>IFERROR(__xludf.dummyfunction("""COMPUTED_VALUE"""),"005******50")</f>
        <v>005******50</v>
      </c>
      <c r="H123" s="11" t="str">
        <f>IFERROR(__xludf.dummyfunction("""COMPUTED_VALUE"""),"INFANTIL 1")</f>
        <v>INFANTIL 1</v>
      </c>
      <c r="I123" s="12" t="str">
        <f>IFERROR(__xludf.dummyfunction("""COMPUTED_VALUE"""),"CEMEI PROFESSORA LINDOMAR DOMINGOS DA SILVA ANJOS")</f>
        <v>CEMEI PROFESSORA LINDOMAR DOMINGOS DA SILVA ANJOS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Height="1" spans="1:26">
      <c r="A124" s="3"/>
      <c r="B124" s="11" t="str">
        <f>IFERROR(__xludf.dummyfunction("""COMPUTED_VALUE"""),"REGIONAL 5")</f>
        <v>REGIONAL 5</v>
      </c>
      <c r="C124" s="11" t="str">
        <f>IFERROR(__xludf.dummyfunction("""COMPUTED_VALUE"""),"03/03/2026 13:59:55")</f>
        <v>03/03/2026 13:59:55</v>
      </c>
      <c r="D124" s="11" t="str">
        <f>IFERROR(__xludf.dummyfunction("""COMPUTED_VALUE"""),"14")</f>
        <v>14</v>
      </c>
      <c r="E124" s="11" t="str">
        <f>IFERROR(__xludf.dummyfunction("""COMPUTED_VALUE"""),"G. A. D. D. M")</f>
        <v>G. A. D. D. M</v>
      </c>
      <c r="F124" s="11" t="str">
        <f>IFERROR(__xludf.dummyfunction("""COMPUTED_VALUE"""),"05/04/2025")</f>
        <v>05/04/2025</v>
      </c>
      <c r="G124" s="11" t="str">
        <f>IFERROR(__xludf.dummyfunction("""COMPUTED_VALUE"""),"005******94")</f>
        <v>005******94</v>
      </c>
      <c r="H124" s="11" t="str">
        <f>IFERROR(__xludf.dummyfunction("""COMPUTED_VALUE"""),"INFANTIL 1")</f>
        <v>INFANTIL 1</v>
      </c>
      <c r="I124" s="12" t="str">
        <f>IFERROR(__xludf.dummyfunction("""COMPUTED_VALUE"""),"CEMEI PROFESSORA LINDOMAR DOMINGOS DA SILVA ANJOS")</f>
        <v>CEMEI PROFESSORA LINDOMAR DOMINGOS DA SILVA ANJOS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Height="1" spans="1:26">
      <c r="A125" s="3"/>
      <c r="B125" s="11" t="str">
        <f>IFERROR(__xludf.dummyfunction("""COMPUTED_VALUE"""),"REGIONAL 5")</f>
        <v>REGIONAL 5</v>
      </c>
      <c r="C125" s="11" t="str">
        <f>IFERROR(__xludf.dummyfunction("""COMPUTED_VALUE"""),"04/03/2026 10:32:01")</f>
        <v>04/03/2026 10:32:01</v>
      </c>
      <c r="D125" s="11" t="str">
        <f>IFERROR(__xludf.dummyfunction("""COMPUTED_VALUE"""),"15")</f>
        <v>15</v>
      </c>
      <c r="E125" s="11" t="str">
        <f>IFERROR(__xludf.dummyfunction("""COMPUTED_VALUE"""),"N. D. M. D. S")</f>
        <v>N. D. M. D. S</v>
      </c>
      <c r="F125" s="11" t="str">
        <f>IFERROR(__xludf.dummyfunction("""COMPUTED_VALUE"""),"21/05/2025")</f>
        <v>21/05/2025</v>
      </c>
      <c r="G125" s="11" t="str">
        <f>IFERROR(__xludf.dummyfunction("""COMPUTED_VALUE"""),"006******45")</f>
        <v>006******45</v>
      </c>
      <c r="H125" s="11" t="str">
        <f>IFERROR(__xludf.dummyfunction("""COMPUTED_VALUE"""),"INFANTIL 1")</f>
        <v>INFANTIL 1</v>
      </c>
      <c r="I125" s="12" t="str">
        <f>IFERROR(__xludf.dummyfunction("""COMPUTED_VALUE"""),"CEMEI PROFESSORA LINDOMAR DOMINGOS DA SILVA ANJOS")</f>
        <v>CEMEI PROFESSORA LINDOMAR DOMINGOS DA SILVA ANJOS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Height="1" spans="1:26">
      <c r="A126" s="3"/>
      <c r="B126" s="11" t="str">
        <f>IFERROR(__xludf.dummyfunction("""COMPUTED_VALUE"""),"REGIONAL 5")</f>
        <v>REGIONAL 5</v>
      </c>
      <c r="C126" s="11" t="str">
        <f>IFERROR(__xludf.dummyfunction("""COMPUTED_VALUE"""),"23/03/2026 12:35:29")</f>
        <v>23/03/2026 12:35:29</v>
      </c>
      <c r="D126" s="11" t="str">
        <f>IFERROR(__xludf.dummyfunction("""COMPUTED_VALUE"""),"16")</f>
        <v>16</v>
      </c>
      <c r="E126" s="11" t="str">
        <f>IFERROR(__xludf.dummyfunction("""COMPUTED_VALUE"""),"R. G. D. R. P")</f>
        <v>R. G. D. R. P</v>
      </c>
      <c r="F126" s="11" t="str">
        <f>IFERROR(__xludf.dummyfunction("""COMPUTED_VALUE"""),"07/11/2025")</f>
        <v>07/11/2025</v>
      </c>
      <c r="G126" s="11" t="str">
        <f>IFERROR(__xludf.dummyfunction("""COMPUTED_VALUE"""),"022******15")</f>
        <v>022******15</v>
      </c>
      <c r="H126" s="11" t="str">
        <f>IFERROR(__xludf.dummyfunction("""COMPUTED_VALUE"""),"INFANTIL 1")</f>
        <v>INFANTIL 1</v>
      </c>
      <c r="I126" s="12" t="str">
        <f>IFERROR(__xludf.dummyfunction("""COMPUTED_VALUE"""),"CEMEI PROFESSORA LINDOMAR DOMINGOS DA SILVA ANJOS")</f>
        <v>CEMEI PROFESSORA LINDOMAR DOMINGOS DA SILVA ANJOS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Height="1" spans="1:26">
      <c r="A127" s="3"/>
      <c r="B127" s="11" t="str">
        <f>IFERROR(__xludf.dummyfunction("""COMPUTED_VALUE"""),"REGIONAL 5")</f>
        <v>REGIONAL 5</v>
      </c>
      <c r="C127" s="11" t="str">
        <f>IFERROR(__xludf.dummyfunction("""COMPUTED_VALUE"""),"30/03/2026 09:26:51")</f>
        <v>30/03/2026 09:26:51</v>
      </c>
      <c r="D127" s="11" t="str">
        <f>IFERROR(__xludf.dummyfunction("""COMPUTED_VALUE"""),"17")</f>
        <v>17</v>
      </c>
      <c r="E127" s="11" t="str">
        <f>IFERROR(__xludf.dummyfunction("""COMPUTED_VALUE"""),"F. C. M")</f>
        <v>F. C. M</v>
      </c>
      <c r="F127" s="11" t="str">
        <f>IFERROR(__xludf.dummyfunction("""COMPUTED_VALUE"""),"26/11/2025")</f>
        <v>26/11/2025</v>
      </c>
      <c r="G127" s="11" t="str">
        <f>IFERROR(__xludf.dummyfunction("""COMPUTED_VALUE"""),"027******72")</f>
        <v>027******72</v>
      </c>
      <c r="H127" s="11" t="str">
        <f>IFERROR(__xludf.dummyfunction("""COMPUTED_VALUE"""),"INFANTIL 1")</f>
        <v>INFANTIL 1</v>
      </c>
      <c r="I127" s="12" t="str">
        <f>IFERROR(__xludf.dummyfunction("""COMPUTED_VALUE"""),"CEMEI PROFESSORA LINDOMAR DOMINGOS DA SILVA ANJOS")</f>
        <v>CEMEI PROFESSORA LINDOMAR DOMINGOS DA SILVA ANJOS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Height="1" spans="1:26">
      <c r="A128" s="3"/>
      <c r="B128" s="11" t="str">
        <f>IFERROR(__xludf.dummyfunction("""COMPUTED_VALUE"""),"REGIONAL 5")</f>
        <v>REGIONAL 5</v>
      </c>
      <c r="C128" s="11" t="str">
        <f>IFERROR(__xludf.dummyfunction("""COMPUTED_VALUE"""),"01/04/2026 11:07:18")</f>
        <v>01/04/2026 11:07:18</v>
      </c>
      <c r="D128" s="11" t="str">
        <f>IFERROR(__xludf.dummyfunction("""COMPUTED_VALUE"""),"18")</f>
        <v>18</v>
      </c>
      <c r="E128" s="11" t="str">
        <f>IFERROR(__xludf.dummyfunction("""COMPUTED_VALUE"""),"M. I. S. S")</f>
        <v>M. I. S. S</v>
      </c>
      <c r="F128" s="11" t="str">
        <f>IFERROR(__xludf.dummyfunction("""COMPUTED_VALUE"""),"03/09/2024")</f>
        <v>03/09/2024</v>
      </c>
      <c r="G128" s="11" t="str">
        <f>IFERROR(__xludf.dummyfunction("""COMPUTED_VALUE"""),"054******71")</f>
        <v>054******71</v>
      </c>
      <c r="H128" s="11" t="str">
        <f>IFERROR(__xludf.dummyfunction("""COMPUTED_VALUE"""),"INFANTIL 1")</f>
        <v>INFANTIL 1</v>
      </c>
      <c r="I128" s="12" t="str">
        <f>IFERROR(__xludf.dummyfunction("""COMPUTED_VALUE"""),"CEMEI PROFESSORA LINDOMAR DOMINGOS DA SILVA ANJOS")</f>
        <v>CEMEI PROFESSORA LINDOMAR DOMINGOS DA SILVA ANJOS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Height="1" spans="1:26">
      <c r="A129" s="3"/>
      <c r="B129" s="11" t="str">
        <f>IFERROR(__xludf.dummyfunction("""COMPUTED_VALUE"""),"REGIONAL 5")</f>
        <v>REGIONAL 5</v>
      </c>
      <c r="C129" s="11" t="str">
        <f>IFERROR(__xludf.dummyfunction("""COMPUTED_VALUE"""),"08/04/2026 16:32:34")</f>
        <v>08/04/2026 16:32:34</v>
      </c>
      <c r="D129" s="11" t="str">
        <f>IFERROR(__xludf.dummyfunction("""COMPUTED_VALUE"""),"19")</f>
        <v>19</v>
      </c>
      <c r="E129" s="11" t="str">
        <f>IFERROR(__xludf.dummyfunction("""COMPUTED_VALUE"""),"M. B. M. A")</f>
        <v>M. B. M. A</v>
      </c>
      <c r="F129" s="11" t="str">
        <f>IFERROR(__xludf.dummyfunction("""COMPUTED_VALUE"""),"01/04/2025")</f>
        <v>01/04/2025</v>
      </c>
      <c r="G129" s="11" t="str">
        <f>IFERROR(__xludf.dummyfunction("""COMPUTED_VALUE"""),"005******85")</f>
        <v>005******85</v>
      </c>
      <c r="H129" s="11" t="str">
        <f>IFERROR(__xludf.dummyfunction("""COMPUTED_VALUE"""),"INFANTIL 1")</f>
        <v>INFANTIL 1</v>
      </c>
      <c r="I129" s="12" t="str">
        <f>IFERROR(__xludf.dummyfunction("""COMPUTED_VALUE"""),"CEMEI PROFESSORA LINDOMAR DOMINGOS DA SILVA ANJOS")</f>
        <v>CEMEI PROFESSORA LINDOMAR DOMINGOS DA SILVA ANJOS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Height="1" spans="1:26">
      <c r="A130" s="3"/>
      <c r="B130" s="11" t="str">
        <f>IFERROR(__xludf.dummyfunction("""COMPUTED_VALUE"""),"REGIONAL 5")</f>
        <v>REGIONAL 5</v>
      </c>
      <c r="C130" s="11" t="str">
        <f>IFERROR(__xludf.dummyfunction("""COMPUTED_VALUE"""),"15/04/2026 13:07:53")</f>
        <v>15/04/2026 13:07:53</v>
      </c>
      <c r="D130" s="11" t="str">
        <f>IFERROR(__xludf.dummyfunction("""COMPUTED_VALUE"""),"20")</f>
        <v>20</v>
      </c>
      <c r="E130" s="11" t="str">
        <f>IFERROR(__xludf.dummyfunction("""COMPUTED_VALUE"""),"H. R. M")</f>
        <v>H. R. M</v>
      </c>
      <c r="F130" s="11" t="str">
        <f>IFERROR(__xludf.dummyfunction("""COMPUTED_VALUE"""),"30/08/2025")</f>
        <v>30/08/2025</v>
      </c>
      <c r="G130" s="11" t="str">
        <f>IFERROR(__xludf.dummyfunction("""COMPUTED_VALUE"""),"007******44")</f>
        <v>007******44</v>
      </c>
      <c r="H130" s="11" t="str">
        <f>IFERROR(__xludf.dummyfunction("""COMPUTED_VALUE"""),"INFANTIL 1")</f>
        <v>INFANTIL 1</v>
      </c>
      <c r="I130" s="12" t="str">
        <f>IFERROR(__xludf.dummyfunction("""COMPUTED_VALUE"""),"CEMEI PROFESSORA LINDOMAR DOMINGOS DA SILVA ANJOS")</f>
        <v>CEMEI PROFESSORA LINDOMAR DOMINGOS DA SILVA ANJOS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Height="1" spans="1:26">
      <c r="A131" s="3"/>
      <c r="B131" s="11" t="str">
        <f>IFERROR(__xludf.dummyfunction("""COMPUTED_VALUE"""),"REGIONAL 5")</f>
        <v>REGIONAL 5</v>
      </c>
      <c r="C131" s="11" t="str">
        <f>IFERROR(__xludf.dummyfunction("""COMPUTED_VALUE"""),"04/05/2026 10:11:49")</f>
        <v>04/05/2026 10:11:49</v>
      </c>
      <c r="D131" s="11" t="str">
        <f>IFERROR(__xludf.dummyfunction("""COMPUTED_VALUE"""),"21")</f>
        <v>21</v>
      </c>
      <c r="E131" s="11" t="str">
        <f>IFERROR(__xludf.dummyfunction("""COMPUTED_VALUE"""),"M. A. D. A. E")</f>
        <v>M. A. D. A. E</v>
      </c>
      <c r="F131" s="11" t="str">
        <f>IFERROR(__xludf.dummyfunction("""COMPUTED_VALUE"""),"11/03/2025")</f>
        <v>11/03/2025</v>
      </c>
      <c r="G131" s="11" t="str">
        <f>IFERROR(__xludf.dummyfunction("""COMPUTED_VALUE"""),"005******59")</f>
        <v>005******59</v>
      </c>
      <c r="H131" s="11" t="str">
        <f>IFERROR(__xludf.dummyfunction("""COMPUTED_VALUE"""),"INFANTIL 1")</f>
        <v>INFANTIL 1</v>
      </c>
      <c r="I131" s="12" t="str">
        <f>IFERROR(__xludf.dummyfunction("""COMPUTED_VALUE"""),"CEMEI PROFESSORA LINDOMAR DOMINGOS DA SILVA ANJOS")</f>
        <v>CEMEI PROFESSORA LINDOMAR DOMINGOS DA SILVA ANJOS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Height="1" spans="1:26">
      <c r="A132" s="3"/>
      <c r="B132" s="11" t="str">
        <f>IFERROR(__xludf.dummyfunction("""COMPUTED_VALUE"""),"REGIONAL 5")</f>
        <v>REGIONAL 5</v>
      </c>
      <c r="C132" s="11" t="str">
        <f>IFERROR(__xludf.dummyfunction("""COMPUTED_VALUE"""),"15/05/2026 11:54:29")</f>
        <v>15/05/2026 11:54:29</v>
      </c>
      <c r="D132" s="11" t="str">
        <f>IFERROR(__xludf.dummyfunction("""COMPUTED_VALUE"""),"22")</f>
        <v>22</v>
      </c>
      <c r="E132" s="11" t="str">
        <f>IFERROR(__xludf.dummyfunction("""COMPUTED_VALUE"""),"A. M. S. D. S")</f>
        <v>A. M. S. D. S</v>
      </c>
      <c r="F132" s="11" t="str">
        <f>IFERROR(__xludf.dummyfunction("""COMPUTED_VALUE"""),"10/09/2024")</f>
        <v>10/09/2024</v>
      </c>
      <c r="G132" s="11" t="str">
        <f>IFERROR(__xludf.dummyfunction("""COMPUTED_VALUE"""),"004******58")</f>
        <v>004******58</v>
      </c>
      <c r="H132" s="11" t="str">
        <f>IFERROR(__xludf.dummyfunction("""COMPUTED_VALUE"""),"INFANTIL 1")</f>
        <v>INFANTIL 1</v>
      </c>
      <c r="I132" s="12" t="str">
        <f>IFERROR(__xludf.dummyfunction("""COMPUTED_VALUE"""),"CEMEI PROFESSORA LINDOMAR DOMINGOS DA SILVA ANJOS")</f>
        <v>CEMEI PROFESSORA LINDOMAR DOMINGOS DA SILVA ANJOS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Height="1" spans="1:26">
      <c r="A133" s="3"/>
      <c r="B133" s="11" t="str">
        <f>IFERROR(__xludf.dummyfunction("""COMPUTED_VALUE"""),"REGIONAL 5")</f>
        <v>REGIONAL 5</v>
      </c>
      <c r="C133" s="11" t="str">
        <f>IFERROR(__xludf.dummyfunction("""COMPUTED_VALUE"""),"15/05/2026 12:03:27")</f>
        <v>15/05/2026 12:03:27</v>
      </c>
      <c r="D133" s="11" t="str">
        <f>IFERROR(__xludf.dummyfunction("""COMPUTED_VALUE"""),"23")</f>
        <v>23</v>
      </c>
      <c r="E133" s="11" t="str">
        <f>IFERROR(__xludf.dummyfunction("""COMPUTED_VALUE"""),"A. K. S. D. S")</f>
        <v>A. K. S. D. S</v>
      </c>
      <c r="F133" s="11" t="str">
        <f>IFERROR(__xludf.dummyfunction("""COMPUTED_VALUE"""),"10/09/2024")</f>
        <v>10/09/2024</v>
      </c>
      <c r="G133" s="11" t="str">
        <f>IFERROR(__xludf.dummyfunction("""COMPUTED_VALUE"""),"004******02")</f>
        <v>004******02</v>
      </c>
      <c r="H133" s="11" t="str">
        <f>IFERROR(__xludf.dummyfunction("""COMPUTED_VALUE"""),"INFANTIL 1")</f>
        <v>INFANTIL 1</v>
      </c>
      <c r="I133" s="12" t="str">
        <f>IFERROR(__xludf.dummyfunction("""COMPUTED_VALUE"""),"CEMEI PROFESSORA LINDOMAR DOMINGOS DA SILVA ANJOS")</f>
        <v>CEMEI PROFESSORA LINDOMAR DOMINGOS DA SILVA ANJOS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Height="1" spans="1:26">
      <c r="A134" s="3"/>
      <c r="B134" s="11" t="str">
        <f>IFERROR(__xludf.dummyfunction("""COMPUTED_VALUE"""),"REGIONAL 5")</f>
        <v>REGIONAL 5</v>
      </c>
      <c r="C134" s="11" t="str">
        <f>IFERROR(__xludf.dummyfunction("""COMPUTED_VALUE"""),"30/05/2026 11:24:31")</f>
        <v>30/05/2026 11:24:31</v>
      </c>
      <c r="D134" s="11" t="str">
        <f>IFERROR(__xludf.dummyfunction("""COMPUTED_VALUE"""),"24")</f>
        <v>24</v>
      </c>
      <c r="E134" s="11" t="str">
        <f>IFERROR(__xludf.dummyfunction("""COMPUTED_VALUE"""),"N. R. F. d. S")</f>
        <v>N. R. F. d. S</v>
      </c>
      <c r="F134" s="11" t="str">
        <f>IFERROR(__xludf.dummyfunction("""COMPUTED_VALUE"""),"10/10/2024")</f>
        <v>10/10/2024</v>
      </c>
      <c r="G134" s="11" t="str">
        <f>IFERROR(__xludf.dummyfunction("""COMPUTED_VALUE"""),"004******85")</f>
        <v>004******85</v>
      </c>
      <c r="H134" s="11" t="str">
        <f>IFERROR(__xludf.dummyfunction("""COMPUTED_VALUE"""),"INFANTIL 1")</f>
        <v>INFANTIL 1</v>
      </c>
      <c r="I134" s="12" t="str">
        <f>IFERROR(__xludf.dummyfunction("""COMPUTED_VALUE"""),"CEMEI PROFESSORA LINDOMAR DOMINGOS DA SILVA ANJOS")</f>
        <v>CEMEI PROFESSORA LINDOMAR DOMINGOS DA SILVA ANJOS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Height="1" spans="1:26">
      <c r="A135" s="3"/>
      <c r="B135" s="11" t="str">
        <f>IFERROR(__xludf.dummyfunction("""COMPUTED_VALUE"""),"REGIONAL 5")</f>
        <v>REGIONAL 5</v>
      </c>
      <c r="C135" s="11" t="str">
        <f>IFERROR(__xludf.dummyfunction("""COMPUTED_VALUE"""),"01/06/2026 13:25:04")</f>
        <v>01/06/2026 13:25:04</v>
      </c>
      <c r="D135" s="11" t="str">
        <f>IFERROR(__xludf.dummyfunction("""COMPUTED_VALUE"""),"25")</f>
        <v>25</v>
      </c>
      <c r="E135" s="11" t="str">
        <f>IFERROR(__xludf.dummyfunction("""COMPUTED_VALUE"""),"A. l. F. l")</f>
        <v>A. l. F. l</v>
      </c>
      <c r="F135" s="11" t="str">
        <f>IFERROR(__xludf.dummyfunction("""COMPUTED_VALUE"""),"02/09/2024")</f>
        <v>02/09/2024</v>
      </c>
      <c r="G135" s="11" t="str">
        <f>IFERROR(__xludf.dummyfunction("""COMPUTED_VALUE"""),"004******03")</f>
        <v>004******03</v>
      </c>
      <c r="H135" s="11" t="str">
        <f>IFERROR(__xludf.dummyfunction("""COMPUTED_VALUE"""),"INFANTIL 1")</f>
        <v>INFANTIL 1</v>
      </c>
      <c r="I135" s="12" t="str">
        <f>IFERROR(__xludf.dummyfunction("""COMPUTED_VALUE"""),"CEMEI PROFESSORA LINDOMAR DOMINGOS DA SILVA ANJOS")</f>
        <v>CEMEI PROFESSORA LINDOMAR DOMINGOS DA SILVA ANJOS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Height="1" spans="1:26">
      <c r="A136" s="3"/>
      <c r="B136" s="11" t="str">
        <f>IFERROR(__xludf.dummyfunction("""COMPUTED_VALUE"""),"REGIONAL 5")</f>
        <v>REGIONAL 5</v>
      </c>
      <c r="C136" s="11" t="str">
        <f>IFERROR(__xludf.dummyfunction("""COMPUTED_VALUE"""),"04/06/2026 10:58:04")</f>
        <v>04/06/2026 10:58:04</v>
      </c>
      <c r="D136" s="11" t="str">
        <f>IFERROR(__xludf.dummyfunction("""COMPUTED_VALUE"""),"26")</f>
        <v>26</v>
      </c>
      <c r="E136" s="11" t="str">
        <f>IFERROR(__xludf.dummyfunction("""COMPUTED_VALUE"""),"T. J. C. M. d. S")</f>
        <v>T. J. C. M. d. S</v>
      </c>
      <c r="F136" s="11" t="str">
        <f>IFERROR(__xludf.dummyfunction("""COMPUTED_VALUE"""),"28/04/2024")</f>
        <v>28/04/2024</v>
      </c>
      <c r="G136" s="11" t="str">
        <f>IFERROR(__xludf.dummyfunction("""COMPUTED_VALUE"""),"002******29")</f>
        <v>002******29</v>
      </c>
      <c r="H136" s="11" t="str">
        <f>IFERROR(__xludf.dummyfunction("""COMPUTED_VALUE"""),"INFANTIL 1")</f>
        <v>INFANTIL 1</v>
      </c>
      <c r="I136" s="12" t="str">
        <f>IFERROR(__xludf.dummyfunction("""COMPUTED_VALUE"""),"CEMEI PROFESSORA LINDOMAR DOMINGOS DA SILVA ANJOS")</f>
        <v>CEMEI PROFESSORA LINDOMAR DOMINGOS DA SILVA ANJOS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Height="1" spans="1:26">
      <c r="A137" s="3"/>
      <c r="B137" s="11" t="str">
        <f>IFERROR(__xludf.dummyfunction("""COMPUTED_VALUE"""),"REGIONAL 5")</f>
        <v>REGIONAL 5</v>
      </c>
      <c r="C137" s="11" t="str">
        <f>IFERROR(__xludf.dummyfunction("""COMPUTED_VALUE"""),"10/06/2026 09:48:38")</f>
        <v>10/06/2026 09:48:38</v>
      </c>
      <c r="D137" s="11" t="str">
        <f>IFERROR(__xludf.dummyfunction("""COMPUTED_VALUE"""),"27")</f>
        <v>27</v>
      </c>
      <c r="E137" s="11" t="str">
        <f>IFERROR(__xludf.dummyfunction("""COMPUTED_VALUE"""),"T. G. V. D. S")</f>
        <v>T. G. V. D. S</v>
      </c>
      <c r="F137" s="11" t="str">
        <f>IFERROR(__xludf.dummyfunction("""COMPUTED_VALUE"""),"22/01/2025")</f>
        <v>22/01/2025</v>
      </c>
      <c r="G137" s="11" t="str">
        <f>IFERROR(__xludf.dummyfunction("""COMPUTED_VALUE"""),"005******35")</f>
        <v>005******35</v>
      </c>
      <c r="H137" s="11" t="str">
        <f>IFERROR(__xludf.dummyfunction("""COMPUTED_VALUE"""),"INFANTIL 1")</f>
        <v>INFANTIL 1</v>
      </c>
      <c r="I137" s="12" t="str">
        <f>IFERROR(__xludf.dummyfunction("""COMPUTED_VALUE"""),"CEMEI PROFESSORA LINDOMAR DOMINGOS DA SILVA ANJOS")</f>
        <v>CEMEI PROFESSORA LINDOMAR DOMINGOS DA SILVA ANJOS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Height="1" spans="1:26">
      <c r="A138" s="3"/>
      <c r="B138" s="11" t="str">
        <f>IFERROR(__xludf.dummyfunction("""COMPUTED_VALUE"""),"REGIONAL 5")</f>
        <v>REGIONAL 5</v>
      </c>
      <c r="C138" s="11" t="str">
        <f>IFERROR(__xludf.dummyfunction("""COMPUTED_VALUE"""),"22/07/2026 11:43:16")</f>
        <v>22/07/2026 11:43:16</v>
      </c>
      <c r="D138" s="11" t="str">
        <f>IFERROR(__xludf.dummyfunction("""COMPUTED_VALUE"""),"28")</f>
        <v>28</v>
      </c>
      <c r="E138" s="11" t="str">
        <f>IFERROR(__xludf.dummyfunction("""COMPUTED_VALUE"""),"A. L. L. D. S")</f>
        <v>A. L. L. D. S</v>
      </c>
      <c r="F138" s="11" t="str">
        <f>IFERROR(__xludf.dummyfunction("""COMPUTED_VALUE"""),"24/10/2024")</f>
        <v>24/10/2024</v>
      </c>
      <c r="G138" s="11" t="str">
        <f>IFERROR(__xludf.dummyfunction("""COMPUTED_VALUE"""),"004******63")</f>
        <v>004******63</v>
      </c>
      <c r="H138" s="11" t="str">
        <f>IFERROR(__xludf.dummyfunction("""COMPUTED_VALUE"""),"INFANTIL 1")</f>
        <v>INFANTIL 1</v>
      </c>
      <c r="I138" s="12" t="str">
        <f>IFERROR(__xludf.dummyfunction("""COMPUTED_VALUE"""),"CEMEI PROFESSORA LINDOMAR DOMINGOS DA SILVA ANJOS")</f>
        <v>CEMEI PROFESSORA LINDOMAR DOMINGOS DA SILVA ANJOS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Height="1" spans="1:26">
      <c r="A139" s="3"/>
      <c r="B139" s="11" t="str">
        <f>IFERROR(__xludf.dummyfunction("""COMPUTED_VALUE"""),"REGIONAL 5")</f>
        <v>REGIONAL 5</v>
      </c>
      <c r="C139" s="11" t="str">
        <f>IFERROR(__xludf.dummyfunction("""COMPUTED_VALUE"""),"23/07/2026 14:13:37")</f>
        <v>23/07/2026 14:13:37</v>
      </c>
      <c r="D139" s="11" t="str">
        <f>IFERROR(__xludf.dummyfunction("""COMPUTED_VALUE"""),"29")</f>
        <v>29</v>
      </c>
      <c r="E139" s="11" t="str">
        <f>IFERROR(__xludf.dummyfunction("""COMPUTED_VALUE"""),"O. B. L. N")</f>
        <v>O. B. L. N</v>
      </c>
      <c r="F139" s="11" t="str">
        <f>IFERROR(__xludf.dummyfunction("""COMPUTED_VALUE"""),"10/10/2025")</f>
        <v>10/10/2025</v>
      </c>
      <c r="G139" s="11" t="str">
        <f>IFERROR(__xludf.dummyfunction("""COMPUTED_VALUE"""),"015******68")</f>
        <v>015******68</v>
      </c>
      <c r="H139" s="11" t="str">
        <f>IFERROR(__xludf.dummyfunction("""COMPUTED_VALUE"""),"INFANTIL 1")</f>
        <v>INFANTIL 1</v>
      </c>
      <c r="I139" s="12" t="str">
        <f>IFERROR(__xludf.dummyfunction("""COMPUTED_VALUE"""),"CEMEI PROFESSORA LINDOMAR DOMINGOS DA SILVA ANJOS")</f>
        <v>CEMEI PROFESSORA LINDOMAR DOMINGOS DA SILVA ANJOS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Height="1" spans="1:26">
      <c r="A140" s="3"/>
      <c r="B140" s="11" t="str">
        <f>IFERROR(__xludf.dummyfunction("""COMPUTED_VALUE"""),"REGIONAL 5")</f>
        <v>REGIONAL 5</v>
      </c>
      <c r="C140" s="11" t="str">
        <f>IFERROR(__xludf.dummyfunction("""COMPUTED_VALUE"""),"07/08/2026 11:03:06")</f>
        <v>07/08/2026 11:03:06</v>
      </c>
      <c r="D140" s="11" t="str">
        <f>IFERROR(__xludf.dummyfunction("""COMPUTED_VALUE"""),"30")</f>
        <v>30</v>
      </c>
      <c r="E140" s="11" t="str">
        <f>IFERROR(__xludf.dummyfunction("""COMPUTED_VALUE"""),"A. M. L")</f>
        <v>A. M. L</v>
      </c>
      <c r="F140" s="11" t="str">
        <f>IFERROR(__xludf.dummyfunction("""COMPUTED_VALUE"""),"10/09/2025")</f>
        <v>10/09/2025</v>
      </c>
      <c r="G140" s="11" t="str">
        <f>IFERROR(__xludf.dummyfunction("""COMPUTED_VALUE"""),"007******10")</f>
        <v>007******10</v>
      </c>
      <c r="H140" s="11" t="str">
        <f>IFERROR(__xludf.dummyfunction("""COMPUTED_VALUE"""),"INFANTIL 1")</f>
        <v>INFANTIL 1</v>
      </c>
      <c r="I140" s="12" t="str">
        <f>IFERROR(__xludf.dummyfunction("""COMPUTED_VALUE"""),"CEMEI PROFESSORA LINDOMAR DOMINGOS DA SILVA ANJOS")</f>
        <v>CEMEI PROFESSORA LINDOMAR DOMINGOS DA SILVA ANJOS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Height="1" spans="1:26">
      <c r="A141" s="3"/>
      <c r="B141" s="11" t="str">
        <f>IFERROR(__xludf.dummyfunction("""COMPUTED_VALUE"""),"REGIONAL 5")</f>
        <v>REGIONAL 5</v>
      </c>
      <c r="C141" s="11" t="str">
        <f>IFERROR(__xludf.dummyfunction("""COMPUTED_VALUE"""),"26/08/2026 12:19:22")</f>
        <v>26/08/2026 12:19:22</v>
      </c>
      <c r="D141" s="11" t="str">
        <f>IFERROR(__xludf.dummyfunction("""COMPUTED_VALUE"""),"31")</f>
        <v>31</v>
      </c>
      <c r="E141" s="11" t="str">
        <f>IFERROR(__xludf.dummyfunction("""COMPUTED_VALUE"""),"K. M. C. d. S")</f>
        <v>K. M. C. d. S</v>
      </c>
      <c r="F141" s="11" t="str">
        <f>IFERROR(__xludf.dummyfunction("""COMPUTED_VALUE"""),"24/02/2025")</f>
        <v>24/02/2025</v>
      </c>
      <c r="G141" s="11" t="str">
        <f>IFERROR(__xludf.dummyfunction("""COMPUTED_VALUE"""),"071******50")</f>
        <v>071******50</v>
      </c>
      <c r="H141" s="11" t="str">
        <f>IFERROR(__xludf.dummyfunction("""COMPUTED_VALUE"""),"INFANTIL 1")</f>
        <v>INFANTIL 1</v>
      </c>
      <c r="I141" s="12" t="str">
        <f>IFERROR(__xludf.dummyfunction("""COMPUTED_VALUE"""),"CEMEI PROFESSORA LINDOMAR DOMINGOS DA SILVA ANJOS")</f>
        <v>CEMEI PROFESSORA LINDOMAR DOMINGOS DA SILVA ANJOS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Height="1" spans="1:26">
      <c r="A142" s="3"/>
      <c r="B142" s="11" t="str">
        <f>IFERROR(__xludf.dummyfunction("""COMPUTED_VALUE"""),"REGIONAL 5")</f>
        <v>REGIONAL 5</v>
      </c>
      <c r="C142" s="11" t="str">
        <f>IFERROR(__xludf.dummyfunction("""COMPUTED_VALUE"""),"17/09/2026 11:58:57")</f>
        <v>17/09/2026 11:58:57</v>
      </c>
      <c r="D142" s="11" t="str">
        <f>IFERROR(__xludf.dummyfunction("""COMPUTED_VALUE"""),"32")</f>
        <v>32</v>
      </c>
      <c r="E142" s="11" t="str">
        <f>IFERROR(__xludf.dummyfunction("""COMPUTED_VALUE"""),"L. W. d. s")</f>
        <v>L. W. d. s</v>
      </c>
      <c r="F142" s="11" t="str">
        <f>IFERROR(__xludf.dummyfunction("""COMPUTED_VALUE"""),"14/12/2024")</f>
        <v>14/12/2024</v>
      </c>
      <c r="G142" s="11" t="str">
        <f>IFERROR(__xludf.dummyfunction("""COMPUTED_VALUE"""),"004******78")</f>
        <v>004******78</v>
      </c>
      <c r="H142" s="11" t="str">
        <f>IFERROR(__xludf.dummyfunction("""COMPUTED_VALUE"""),"INFANTIL 1")</f>
        <v>INFANTIL 1</v>
      </c>
      <c r="I142" s="12" t="str">
        <f>IFERROR(__xludf.dummyfunction("""COMPUTED_VALUE"""),"CEMEI PROFESSORA LINDOMAR DOMINGOS DA SILVA ANJOS")</f>
        <v>CEMEI PROFESSORA LINDOMAR DOMINGOS DA SILVA ANJOS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Height="1" spans="1:26">
      <c r="A143" s="3"/>
      <c r="B143" s="11" t="str">
        <f>IFERROR(__xludf.dummyfunction("""COMPUTED_VALUE"""),"REGIONAL 5")</f>
        <v>REGIONAL 5</v>
      </c>
      <c r="C143" s="11" t="str">
        <f>IFERROR(__xludf.dummyfunction("""COMPUTED_VALUE"""),"23/09/2026 11:12:15")</f>
        <v>23/09/2026 11:12:15</v>
      </c>
      <c r="D143" s="11" t="str">
        <f>IFERROR(__xludf.dummyfunction("""COMPUTED_VALUE"""),"33")</f>
        <v>33</v>
      </c>
      <c r="E143" s="11" t="str">
        <f>IFERROR(__xludf.dummyfunction("""COMPUTED_VALUE"""),"G. d. O. C")</f>
        <v>G. d. O. C</v>
      </c>
      <c r="F143" s="11" t="str">
        <f>IFERROR(__xludf.dummyfunction("""COMPUTED_VALUE"""),"03/04/2024")</f>
        <v>03/04/2024</v>
      </c>
      <c r="G143" s="11" t="str">
        <f>IFERROR(__xludf.dummyfunction("""COMPUTED_VALUE"""),"007******96")</f>
        <v>007******96</v>
      </c>
      <c r="H143" s="11" t="str">
        <f>IFERROR(__xludf.dummyfunction("""COMPUTED_VALUE"""),"INFANTIL 1")</f>
        <v>INFANTIL 1</v>
      </c>
      <c r="I143" s="12" t="str">
        <f>IFERROR(__xludf.dummyfunction("""COMPUTED_VALUE"""),"CEMEI PROFESSORA LINDOMAR DOMINGOS DA SILVA ANJOS")</f>
        <v>CEMEI PROFESSORA LINDOMAR DOMINGOS DA SILVA ANJOS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Height="1" spans="1:26">
      <c r="A144" s="3"/>
      <c r="B144" s="11" t="str">
        <f>IFERROR(__xludf.dummyfunction("""COMPUTED_VALUE"""),"REGIONAL 5")</f>
        <v>REGIONAL 5</v>
      </c>
      <c r="C144" s="11" t="str">
        <f>IFERROR(__xludf.dummyfunction("""COMPUTED_VALUE"""),"28/01/2026 08:06:54")</f>
        <v>28/01/2026 08:06:54</v>
      </c>
      <c r="D144" s="11" t="str">
        <f>IFERROR(__xludf.dummyfunction("""COMPUTED_VALUE"""),"1")</f>
        <v>1</v>
      </c>
      <c r="E144" s="11" t="str">
        <f>IFERROR(__xludf.dummyfunction("""COMPUTED_VALUE"""),"A. M. F. L")</f>
        <v>A. M. F. L</v>
      </c>
      <c r="F144" s="11" t="str">
        <f>IFERROR(__xludf.dummyfunction("""COMPUTED_VALUE"""),"06/04/2023")</f>
        <v>06/04/2023</v>
      </c>
      <c r="G144" s="11" t="str">
        <f>IFERROR(__xludf.dummyfunction("""COMPUTED_VALUE"""),"185******07")</f>
        <v>185******07</v>
      </c>
      <c r="H144" s="11" t="str">
        <f>IFERROR(__xludf.dummyfunction("""COMPUTED_VALUE"""),"INFANTIL 2")</f>
        <v>INFANTIL 2</v>
      </c>
      <c r="I144" s="12" t="str">
        <f>IFERROR(__xludf.dummyfunction("""COMPUTED_VALUE"""),"CEMEI PROFESSORA LINDOMAR DOMINGOS DA SILVA ANJOS")</f>
        <v>CEMEI PROFESSORA LINDOMAR DOMINGOS DA SILVA ANJOS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Height="1" spans="1:26">
      <c r="A145" s="3"/>
      <c r="B145" s="11" t="str">
        <f>IFERROR(__xludf.dummyfunction("""COMPUTED_VALUE"""),"REGIONAL 5")</f>
        <v>REGIONAL 5</v>
      </c>
      <c r="C145" s="11" t="str">
        <f>IFERROR(__xludf.dummyfunction("""COMPUTED_VALUE"""),"28/01/2026 08:08:24")</f>
        <v>28/01/2026 08:08:24</v>
      </c>
      <c r="D145" s="11" t="str">
        <f>IFERROR(__xludf.dummyfunction("""COMPUTED_VALUE"""),"2")</f>
        <v>2</v>
      </c>
      <c r="E145" s="11" t="str">
        <f>IFERROR(__xludf.dummyfunction("""COMPUTED_VALUE"""),"M. O. F. C")</f>
        <v>M. O. F. C</v>
      </c>
      <c r="F145" s="11" t="str">
        <f>IFERROR(__xludf.dummyfunction("""COMPUTED_VALUE"""),"23/07/2023")</f>
        <v>23/07/2023</v>
      </c>
      <c r="G145" s="11" t="str">
        <f>IFERROR(__xludf.dummyfunction("""COMPUTED_VALUE"""),"186******04")</f>
        <v>186******04</v>
      </c>
      <c r="H145" s="11" t="str">
        <f>IFERROR(__xludf.dummyfunction("""COMPUTED_VALUE"""),"INFANTIL 2")</f>
        <v>INFANTIL 2</v>
      </c>
      <c r="I145" s="12" t="str">
        <f>IFERROR(__xludf.dummyfunction("""COMPUTED_VALUE"""),"CEMEI PROFESSORA LINDOMAR DOMINGOS DA SILVA ANJOS")</f>
        <v>CEMEI PROFESSORA LINDOMAR DOMINGOS DA SILVA ANJOS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Height="1" spans="1:26">
      <c r="A146" s="3"/>
      <c r="B146" s="11" t="str">
        <f>IFERROR(__xludf.dummyfunction("""COMPUTED_VALUE"""),"REGIONAL 5")</f>
        <v>REGIONAL 5</v>
      </c>
      <c r="C146" s="11" t="str">
        <f>IFERROR(__xludf.dummyfunction("""COMPUTED_VALUE"""),"28/01/2026 08:14:44")</f>
        <v>28/01/2026 08:14:44</v>
      </c>
      <c r="D146" s="11" t="str">
        <f>IFERROR(__xludf.dummyfunction("""COMPUTED_VALUE"""),"3")</f>
        <v>3</v>
      </c>
      <c r="E146" s="11" t="str">
        <f>IFERROR(__xludf.dummyfunction("""COMPUTED_VALUE"""),"S. B. C. R. D. S")</f>
        <v>S. B. C. R. D. S</v>
      </c>
      <c r="F146" s="11" t="str">
        <f>IFERROR(__xludf.dummyfunction("""COMPUTED_VALUE"""),"07/06/2023")</f>
        <v>07/06/2023</v>
      </c>
      <c r="G146" s="11" t="str">
        <f>IFERROR(__xludf.dummyfunction("""COMPUTED_VALUE"""),"185******06")</f>
        <v>185******06</v>
      </c>
      <c r="H146" s="11" t="str">
        <f>IFERROR(__xludf.dummyfunction("""COMPUTED_VALUE"""),"INFANTIL 2")</f>
        <v>INFANTIL 2</v>
      </c>
      <c r="I146" s="12" t="str">
        <f>IFERROR(__xludf.dummyfunction("""COMPUTED_VALUE"""),"CEMEI PROFESSORA LINDOMAR DOMINGOS DA SILVA ANJOS")</f>
        <v>CEMEI PROFESSORA LINDOMAR DOMINGOS DA SILVA ANJOS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Height="1" spans="1:26">
      <c r="A147" s="3"/>
      <c r="B147" s="11" t="str">
        <f>IFERROR(__xludf.dummyfunction("""COMPUTED_VALUE"""),"REGIONAL 5")</f>
        <v>REGIONAL 5</v>
      </c>
      <c r="C147" s="11" t="str">
        <f>IFERROR(__xludf.dummyfunction("""COMPUTED_VALUE"""),"28/01/2026 08:17:19")</f>
        <v>28/01/2026 08:17:19</v>
      </c>
      <c r="D147" s="11" t="str">
        <f>IFERROR(__xludf.dummyfunction("""COMPUTED_VALUE"""),"4")</f>
        <v>4</v>
      </c>
      <c r="E147" s="11" t="str">
        <f>IFERROR(__xludf.dummyfunction("""COMPUTED_VALUE"""),"L. M. T. S")</f>
        <v>L. M. T. S</v>
      </c>
      <c r="F147" s="11" t="str">
        <f>IFERROR(__xludf.dummyfunction("""COMPUTED_VALUE"""),"18/02/2024")</f>
        <v>18/02/2024</v>
      </c>
      <c r="G147" s="11" t="str">
        <f>IFERROR(__xludf.dummyfunction("""COMPUTED_VALUE"""),"002******11")</f>
        <v>002******11</v>
      </c>
      <c r="H147" s="11" t="str">
        <f>IFERROR(__xludf.dummyfunction("""COMPUTED_VALUE"""),"INFANTIL 2")</f>
        <v>INFANTIL 2</v>
      </c>
      <c r="I147" s="12" t="str">
        <f>IFERROR(__xludf.dummyfunction("""COMPUTED_VALUE"""),"CEMEI PROFESSORA LINDOMAR DOMINGOS DA SILVA ANJOS")</f>
        <v>CEMEI PROFESSORA LINDOMAR DOMINGOS DA SILVA ANJOS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Height="1" spans="1:26">
      <c r="A148" s="3"/>
      <c r="B148" s="11" t="str">
        <f>IFERROR(__xludf.dummyfunction("""COMPUTED_VALUE"""),"REGIONAL 5")</f>
        <v>REGIONAL 5</v>
      </c>
      <c r="C148" s="11" t="str">
        <f>IFERROR(__xludf.dummyfunction("""COMPUTED_VALUE"""),"28/01/2026 08:25:56")</f>
        <v>28/01/2026 08:25:56</v>
      </c>
      <c r="D148" s="11" t="str">
        <f>IFERROR(__xludf.dummyfunction("""COMPUTED_VALUE"""),"5")</f>
        <v>5</v>
      </c>
      <c r="E148" s="11" t="str">
        <f>IFERROR(__xludf.dummyfunction("""COMPUTED_VALUE"""),"M. G. D. S. P. A")</f>
        <v>M. G. D. S. P. A</v>
      </c>
      <c r="F148" s="11" t="str">
        <f>IFERROR(__xludf.dummyfunction("""COMPUTED_VALUE"""),"15/05/2023")</f>
        <v>15/05/2023</v>
      </c>
      <c r="G148" s="11" t="str">
        <f>IFERROR(__xludf.dummyfunction("""COMPUTED_VALUE"""),"185******33")</f>
        <v>185******33</v>
      </c>
      <c r="H148" s="11" t="str">
        <f>IFERROR(__xludf.dummyfunction("""COMPUTED_VALUE"""),"INFANTIL 2")</f>
        <v>INFANTIL 2</v>
      </c>
      <c r="I148" s="12" t="str">
        <f>IFERROR(__xludf.dummyfunction("""COMPUTED_VALUE"""),"CEMEI PROFESSORA LINDOMAR DOMINGOS DA SILVA ANJOS")</f>
        <v>CEMEI PROFESSORA LINDOMAR DOMINGOS DA SILVA ANJOS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Height="1" spans="1:26">
      <c r="A149" s="3"/>
      <c r="B149" s="11" t="str">
        <f>IFERROR(__xludf.dummyfunction("""COMPUTED_VALUE"""),"REGIONAL 5")</f>
        <v>REGIONAL 5</v>
      </c>
      <c r="C149" s="11" t="str">
        <f>IFERROR(__xludf.dummyfunction("""COMPUTED_VALUE"""),"28/01/2026 08:25:59")</f>
        <v>28/01/2026 08:25:59</v>
      </c>
      <c r="D149" s="11" t="str">
        <f>IFERROR(__xludf.dummyfunction("""COMPUTED_VALUE"""),"6")</f>
        <v>6</v>
      </c>
      <c r="E149" s="11" t="str">
        <f>IFERROR(__xludf.dummyfunction("""COMPUTED_VALUE"""),"E. B. S")</f>
        <v>E. B. S</v>
      </c>
      <c r="F149" s="11" t="str">
        <f>IFERROR(__xludf.dummyfunction("""COMPUTED_VALUE"""),"12/12/2023")</f>
        <v>12/12/2023</v>
      </c>
      <c r="G149" s="11" t="str">
        <f>IFERROR(__xludf.dummyfunction("""COMPUTED_VALUE"""),"002******25")</f>
        <v>002******25</v>
      </c>
      <c r="H149" s="11" t="str">
        <f>IFERROR(__xludf.dummyfunction("""COMPUTED_VALUE"""),"INFANTIL 2")</f>
        <v>INFANTIL 2</v>
      </c>
      <c r="I149" s="12" t="str">
        <f>IFERROR(__xludf.dummyfunction("""COMPUTED_VALUE"""),"CEMEI PROFESSORA LINDOMAR DOMINGOS DA SILVA ANJOS")</f>
        <v>CEMEI PROFESSORA LINDOMAR DOMINGOS DA SILVA ANJOS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Height="1" spans="1:26">
      <c r="A150" s="3"/>
      <c r="B150" s="11" t="str">
        <f>IFERROR(__xludf.dummyfunction("""COMPUTED_VALUE"""),"REGIONAL 5")</f>
        <v>REGIONAL 5</v>
      </c>
      <c r="C150" s="11" t="str">
        <f>IFERROR(__xludf.dummyfunction("""COMPUTED_VALUE"""),"28/01/2026 08:31:41")</f>
        <v>28/01/2026 08:31:41</v>
      </c>
      <c r="D150" s="11" t="str">
        <f>IFERROR(__xludf.dummyfunction("""COMPUTED_VALUE"""),"7")</f>
        <v>7</v>
      </c>
      <c r="E150" s="11" t="str">
        <f>IFERROR(__xludf.dummyfunction("""COMPUTED_VALUE"""),"L. M. S. L")</f>
        <v>L. M. S. L</v>
      </c>
      <c r="F150" s="11" t="str">
        <f>IFERROR(__xludf.dummyfunction("""COMPUTED_VALUE"""),"25/01/2024")</f>
        <v>25/01/2024</v>
      </c>
      <c r="G150" s="11" t="str">
        <f>IFERROR(__xludf.dummyfunction("""COMPUTED_VALUE"""),"001******03")</f>
        <v>001******03</v>
      </c>
      <c r="H150" s="11" t="str">
        <f>IFERROR(__xludf.dummyfunction("""COMPUTED_VALUE"""),"INFANTIL 2")</f>
        <v>INFANTIL 2</v>
      </c>
      <c r="I150" s="12" t="str">
        <f>IFERROR(__xludf.dummyfunction("""COMPUTED_VALUE"""),"CEMEI PROFESSORA LINDOMAR DOMINGOS DA SILVA ANJOS")</f>
        <v>CEMEI PROFESSORA LINDOMAR DOMINGOS DA SILVA ANJOS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Height="1" spans="1:26">
      <c r="A151" s="3"/>
      <c r="B151" s="11" t="str">
        <f>IFERROR(__xludf.dummyfunction("""COMPUTED_VALUE"""),"REGIONAL 5")</f>
        <v>REGIONAL 5</v>
      </c>
      <c r="C151" s="11" t="str">
        <f>IFERROR(__xludf.dummyfunction("""COMPUTED_VALUE"""),"28/01/2026 09:00:15")</f>
        <v>28/01/2026 09:00:15</v>
      </c>
      <c r="D151" s="11" t="str">
        <f>IFERROR(__xludf.dummyfunction("""COMPUTED_VALUE"""),"8")</f>
        <v>8</v>
      </c>
      <c r="E151" s="11" t="str">
        <f>IFERROR(__xludf.dummyfunction("""COMPUTED_VALUE"""),"H. M. C. D. L")</f>
        <v>H. M. C. D. L</v>
      </c>
      <c r="F151" s="11" t="str">
        <f>IFERROR(__xludf.dummyfunction("""COMPUTED_VALUE"""),"21/12/2023")</f>
        <v>21/12/2023</v>
      </c>
      <c r="G151" s="11" t="str">
        <f>IFERROR(__xludf.dummyfunction("""COMPUTED_VALUE"""),"001******90")</f>
        <v>001******90</v>
      </c>
      <c r="H151" s="11" t="str">
        <f>IFERROR(__xludf.dummyfunction("""COMPUTED_VALUE"""),"INFANTIL 2")</f>
        <v>INFANTIL 2</v>
      </c>
      <c r="I151" s="12" t="str">
        <f>IFERROR(__xludf.dummyfunction("""COMPUTED_VALUE"""),"CEMEI PROFESSORA LINDOMAR DOMINGOS DA SILVA ANJOS")</f>
        <v>CEMEI PROFESSORA LINDOMAR DOMINGOS DA SILVA ANJOS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Height="1" spans="1:26">
      <c r="A152" s="3"/>
      <c r="B152" s="11" t="str">
        <f>IFERROR(__xludf.dummyfunction("""COMPUTED_VALUE"""),"REGIONAL 5")</f>
        <v>REGIONAL 5</v>
      </c>
      <c r="C152" s="11" t="str">
        <f>IFERROR(__xludf.dummyfunction("""COMPUTED_VALUE"""),"28/01/2026 09:08:41")</f>
        <v>28/01/2026 09:08:41</v>
      </c>
      <c r="D152" s="11" t="str">
        <f>IFERROR(__xludf.dummyfunction("""COMPUTED_VALUE"""),"9")</f>
        <v>9</v>
      </c>
      <c r="E152" s="11" t="str">
        <f>IFERROR(__xludf.dummyfunction("""COMPUTED_VALUE"""),"T. V. D. S. F")</f>
        <v>T. V. D. S. F</v>
      </c>
      <c r="F152" s="11" t="str">
        <f>IFERROR(__xludf.dummyfunction("""COMPUTED_VALUE"""),"04/08/2023")</f>
        <v>04/08/2023</v>
      </c>
      <c r="G152" s="11" t="str">
        <f>IFERROR(__xludf.dummyfunction("""COMPUTED_VALUE"""),"186******21")</f>
        <v>186******21</v>
      </c>
      <c r="H152" s="11" t="str">
        <f>IFERROR(__xludf.dummyfunction("""COMPUTED_VALUE"""),"INFANTIL 2")</f>
        <v>INFANTIL 2</v>
      </c>
      <c r="I152" s="12" t="str">
        <f>IFERROR(__xludf.dummyfunction("""COMPUTED_VALUE"""),"CEMEI PROFESSORA LINDOMAR DOMINGOS DA SILVA ANJOS")</f>
        <v>CEMEI PROFESSORA LINDOMAR DOMINGOS DA SILVA ANJOS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Height="1" spans="1:26">
      <c r="A153" s="3"/>
      <c r="B153" s="11" t="str">
        <f>IFERROR(__xludf.dummyfunction("""COMPUTED_VALUE"""),"REGIONAL 5")</f>
        <v>REGIONAL 5</v>
      </c>
      <c r="C153" s="11" t="str">
        <f>IFERROR(__xludf.dummyfunction("""COMPUTED_VALUE"""),"28/01/2026 09:29:37")</f>
        <v>28/01/2026 09:29:37</v>
      </c>
      <c r="D153" s="11" t="str">
        <f>IFERROR(__xludf.dummyfunction("""COMPUTED_VALUE"""),"10")</f>
        <v>10</v>
      </c>
      <c r="E153" s="11" t="str">
        <f>IFERROR(__xludf.dummyfunction("""COMPUTED_VALUE"""),"M. F. D. S")</f>
        <v>M. F. D. S</v>
      </c>
      <c r="F153" s="11" t="str">
        <f>IFERROR(__xludf.dummyfunction("""COMPUTED_VALUE"""),"30/12/2023")</f>
        <v>30/12/2023</v>
      </c>
      <c r="G153" s="11" t="str">
        <f>IFERROR(__xludf.dummyfunction("""COMPUTED_VALUE"""),"001******28")</f>
        <v>001******28</v>
      </c>
      <c r="H153" s="11" t="str">
        <f>IFERROR(__xludf.dummyfunction("""COMPUTED_VALUE"""),"INFANTIL 2")</f>
        <v>INFANTIL 2</v>
      </c>
      <c r="I153" s="12" t="str">
        <f>IFERROR(__xludf.dummyfunction("""COMPUTED_VALUE"""),"CEMEI PROFESSORA LINDOMAR DOMINGOS DA SILVA ANJOS")</f>
        <v>CEMEI PROFESSORA LINDOMAR DOMINGOS DA SILVA ANJOS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Height="1" spans="1:26">
      <c r="A154" s="3"/>
      <c r="B154" s="11" t="str">
        <f>IFERROR(__xludf.dummyfunction("""COMPUTED_VALUE"""),"REGIONAL 5")</f>
        <v>REGIONAL 5</v>
      </c>
      <c r="C154" s="11" t="str">
        <f>IFERROR(__xludf.dummyfunction("""COMPUTED_VALUE"""),"28/01/2026 10:56:41")</f>
        <v>28/01/2026 10:56:41</v>
      </c>
      <c r="D154" s="11" t="str">
        <f>IFERROR(__xludf.dummyfunction("""COMPUTED_VALUE"""),"11")</f>
        <v>11</v>
      </c>
      <c r="E154" s="11" t="str">
        <f>IFERROR(__xludf.dummyfunction("""COMPUTED_VALUE"""),"Y. S. R")</f>
        <v>Y. S. R</v>
      </c>
      <c r="F154" s="11" t="str">
        <f>IFERROR(__xludf.dummyfunction("""COMPUTED_VALUE"""),"11/10/2023")</f>
        <v>11/10/2023</v>
      </c>
      <c r="G154" s="11" t="str">
        <f>IFERROR(__xludf.dummyfunction("""COMPUTED_VALUE"""),"000******55")</f>
        <v>000******55</v>
      </c>
      <c r="H154" s="11" t="str">
        <f>IFERROR(__xludf.dummyfunction("""COMPUTED_VALUE"""),"INFANTIL 2")</f>
        <v>INFANTIL 2</v>
      </c>
      <c r="I154" s="12" t="str">
        <f>IFERROR(__xludf.dummyfunction("""COMPUTED_VALUE"""),"CEMEI PROFESSORA LINDOMAR DOMINGOS DA SILVA ANJOS")</f>
        <v>CEMEI PROFESSORA LINDOMAR DOMINGOS DA SILVA ANJOS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Height="1" spans="1:26">
      <c r="A155" s="3"/>
      <c r="B155" s="11" t="str">
        <f>IFERROR(__xludf.dummyfunction("""COMPUTED_VALUE"""),"REGIONAL 5")</f>
        <v>REGIONAL 5</v>
      </c>
      <c r="C155" s="11" t="str">
        <f>IFERROR(__xludf.dummyfunction("""COMPUTED_VALUE"""),"28/01/2026 11:08:50")</f>
        <v>28/01/2026 11:08:50</v>
      </c>
      <c r="D155" s="11" t="str">
        <f>IFERROR(__xludf.dummyfunction("""COMPUTED_VALUE"""),"12")</f>
        <v>12</v>
      </c>
      <c r="E155" s="11" t="str">
        <f>IFERROR(__xludf.dummyfunction("""COMPUTED_VALUE"""),"A. V")</f>
        <v>A. V</v>
      </c>
      <c r="F155" s="11" t="str">
        <f>IFERROR(__xludf.dummyfunction("""COMPUTED_VALUE"""),"28/07/2023")</f>
        <v>28/07/2023</v>
      </c>
      <c r="G155" s="11" t="str">
        <f>IFERROR(__xludf.dummyfunction("""COMPUTED_VALUE"""),"157******62")</f>
        <v>157******62</v>
      </c>
      <c r="H155" s="11" t="str">
        <f>IFERROR(__xludf.dummyfunction("""COMPUTED_VALUE"""),"INFANTIL 2")</f>
        <v>INFANTIL 2</v>
      </c>
      <c r="I155" s="12" t="str">
        <f>IFERROR(__xludf.dummyfunction("""COMPUTED_VALUE"""),"CEMEI PROFESSORA LINDOMAR DOMINGOS DA SILVA ANJOS")</f>
        <v>CEMEI PROFESSORA LINDOMAR DOMINGOS DA SILVA ANJOS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Height="1" spans="1:26">
      <c r="A156" s="3"/>
      <c r="B156" s="11" t="str">
        <f>IFERROR(__xludf.dummyfunction("""COMPUTED_VALUE"""),"REGIONAL 5")</f>
        <v>REGIONAL 5</v>
      </c>
      <c r="C156" s="11" t="str">
        <f>IFERROR(__xludf.dummyfunction("""COMPUTED_VALUE"""),"28/01/2026 12:27:56")</f>
        <v>28/01/2026 12:27:56</v>
      </c>
      <c r="D156" s="11" t="str">
        <f>IFERROR(__xludf.dummyfunction("""COMPUTED_VALUE"""),"13")</f>
        <v>13</v>
      </c>
      <c r="E156" s="11" t="str">
        <f>IFERROR(__xludf.dummyfunction("""COMPUTED_VALUE"""),"M. M. D. S. C")</f>
        <v>M. M. D. S. C</v>
      </c>
      <c r="F156" s="11" t="str">
        <f>IFERROR(__xludf.dummyfunction("""COMPUTED_VALUE"""),"10/06/2023")</f>
        <v>10/06/2023</v>
      </c>
      <c r="G156" s="11" t="str">
        <f>IFERROR(__xludf.dummyfunction("""COMPUTED_VALUE"""),"185******70")</f>
        <v>185******70</v>
      </c>
      <c r="H156" s="11" t="str">
        <f>IFERROR(__xludf.dummyfunction("""COMPUTED_VALUE"""),"INFANTIL 2")</f>
        <v>INFANTIL 2</v>
      </c>
      <c r="I156" s="12" t="str">
        <f>IFERROR(__xludf.dummyfunction("""COMPUTED_VALUE"""),"CEMEI PROFESSORA LINDOMAR DOMINGOS DA SILVA ANJOS")</f>
        <v>CEMEI PROFESSORA LINDOMAR DOMINGOS DA SILVA ANJOS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Height="1" spans="1:26">
      <c r="A157" s="3"/>
      <c r="B157" s="11" t="str">
        <f>IFERROR(__xludf.dummyfunction("""COMPUTED_VALUE"""),"REGIONAL 5")</f>
        <v>REGIONAL 5</v>
      </c>
      <c r="C157" s="11" t="str">
        <f>IFERROR(__xludf.dummyfunction("""COMPUTED_VALUE"""),"29/01/2026 09:34:00")</f>
        <v>29/01/2026 09:34:00</v>
      </c>
      <c r="D157" s="11" t="str">
        <f>IFERROR(__xludf.dummyfunction("""COMPUTED_VALUE"""),"14")</f>
        <v>14</v>
      </c>
      <c r="E157" s="11" t="str">
        <f>IFERROR(__xludf.dummyfunction("""COMPUTED_VALUE"""),"L. S. O. D. A")</f>
        <v>L. S. O. D. A</v>
      </c>
      <c r="F157" s="11" t="str">
        <f>IFERROR(__xludf.dummyfunction("""COMPUTED_VALUE"""),"13/12/2023")</f>
        <v>13/12/2023</v>
      </c>
      <c r="G157" s="11" t="str">
        <f>IFERROR(__xludf.dummyfunction("""COMPUTED_VALUE"""),"002******11")</f>
        <v>002******11</v>
      </c>
      <c r="H157" s="11" t="str">
        <f>IFERROR(__xludf.dummyfunction("""COMPUTED_VALUE"""),"INFANTIL 2")</f>
        <v>INFANTIL 2</v>
      </c>
      <c r="I157" s="12" t="str">
        <f>IFERROR(__xludf.dummyfunction("""COMPUTED_VALUE"""),"CEMEI PROFESSORA LINDOMAR DOMINGOS DA SILVA ANJOS")</f>
        <v>CEMEI PROFESSORA LINDOMAR DOMINGOS DA SILVA ANJOS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Height="1" spans="1:26">
      <c r="A158" s="3"/>
      <c r="B158" s="11" t="str">
        <f>IFERROR(__xludf.dummyfunction("""COMPUTED_VALUE"""),"REGIONAL 5")</f>
        <v>REGIONAL 5</v>
      </c>
      <c r="C158" s="11" t="str">
        <f>IFERROR(__xludf.dummyfunction("""COMPUTED_VALUE"""),"29/01/2026 19:07:33")</f>
        <v>29/01/2026 19:07:33</v>
      </c>
      <c r="D158" s="11" t="str">
        <f>IFERROR(__xludf.dummyfunction("""COMPUTED_VALUE"""),"15")</f>
        <v>15</v>
      </c>
      <c r="E158" s="11" t="str">
        <f>IFERROR(__xludf.dummyfunction("""COMPUTED_VALUE"""),"J. P. A. D. S")</f>
        <v>J. P. A. D. S</v>
      </c>
      <c r="F158" s="11" t="str">
        <f>IFERROR(__xludf.dummyfunction("""COMPUTED_VALUE"""),"13/05/2023")</f>
        <v>13/05/2023</v>
      </c>
      <c r="G158" s="11" t="str">
        <f>IFERROR(__xludf.dummyfunction("""COMPUTED_VALUE"""),"185******08")</f>
        <v>185******08</v>
      </c>
      <c r="H158" s="11" t="str">
        <f>IFERROR(__xludf.dummyfunction("""COMPUTED_VALUE"""),"INFANTIL 2")</f>
        <v>INFANTIL 2</v>
      </c>
      <c r="I158" s="12" t="str">
        <f>IFERROR(__xludf.dummyfunction("""COMPUTED_VALUE"""),"CEMEI PROFESSORA LINDOMAR DOMINGOS DA SILVA ANJOS")</f>
        <v>CEMEI PROFESSORA LINDOMAR DOMINGOS DA SILVA ANJOS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Height="1" spans="1:26">
      <c r="A159" s="3"/>
      <c r="B159" s="11" t="str">
        <f>IFERROR(__xludf.dummyfunction("""COMPUTED_VALUE"""),"REGIONAL 5")</f>
        <v>REGIONAL 5</v>
      </c>
      <c r="C159" s="11" t="str">
        <f>IFERROR(__xludf.dummyfunction("""COMPUTED_VALUE"""),"03/02/2026 12:10:55")</f>
        <v>03/02/2026 12:10:55</v>
      </c>
      <c r="D159" s="11" t="str">
        <f>IFERROR(__xludf.dummyfunction("""COMPUTED_VALUE"""),"16")</f>
        <v>16</v>
      </c>
      <c r="E159" s="11" t="str">
        <f>IFERROR(__xludf.dummyfunction("""COMPUTED_VALUE"""),"E. B. M. F. N")</f>
        <v>E. B. M. F. N</v>
      </c>
      <c r="F159" s="11" t="str">
        <f>IFERROR(__xludf.dummyfunction("""COMPUTED_VALUE"""),"11/11/2023")</f>
        <v>11/11/2023</v>
      </c>
      <c r="G159" s="11" t="str">
        <f>IFERROR(__xludf.dummyfunction("""COMPUTED_VALUE"""),"001******70")</f>
        <v>001******70</v>
      </c>
      <c r="H159" s="11" t="str">
        <f>IFERROR(__xludf.dummyfunction("""COMPUTED_VALUE"""),"INFANTIL 2")</f>
        <v>INFANTIL 2</v>
      </c>
      <c r="I159" s="12" t="str">
        <f>IFERROR(__xludf.dummyfunction("""COMPUTED_VALUE"""),"CEMEI PROFESSORA LINDOMAR DOMINGOS DA SILVA ANJOS")</f>
        <v>CEMEI PROFESSORA LINDOMAR DOMINGOS DA SILVA ANJOS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Height="1" spans="1:26">
      <c r="A160" s="3"/>
      <c r="B160" s="11" t="str">
        <f>IFERROR(__xludf.dummyfunction("""COMPUTED_VALUE"""),"REGIONAL 5")</f>
        <v>REGIONAL 5</v>
      </c>
      <c r="C160" s="11" t="str">
        <f>IFERROR(__xludf.dummyfunction("""COMPUTED_VALUE"""),"03/02/2026 19:19:03")</f>
        <v>03/02/2026 19:19:03</v>
      </c>
      <c r="D160" s="11" t="str">
        <f>IFERROR(__xludf.dummyfunction("""COMPUTED_VALUE"""),"17")</f>
        <v>17</v>
      </c>
      <c r="E160" s="11" t="str">
        <f>IFERROR(__xludf.dummyfunction("""COMPUTED_VALUE"""),"A. E. V. D. S")</f>
        <v>A. E. V. D. S</v>
      </c>
      <c r="F160" s="11" t="str">
        <f>IFERROR(__xludf.dummyfunction("""COMPUTED_VALUE"""),"22/06/2023")</f>
        <v>22/06/2023</v>
      </c>
      <c r="G160" s="11" t="str">
        <f>IFERROR(__xludf.dummyfunction("""COMPUTED_VALUE"""),"185******00")</f>
        <v>185******00</v>
      </c>
      <c r="H160" s="11" t="str">
        <f>IFERROR(__xludf.dummyfunction("""COMPUTED_VALUE"""),"INFANTIL 2")</f>
        <v>INFANTIL 2</v>
      </c>
      <c r="I160" s="12" t="str">
        <f>IFERROR(__xludf.dummyfunction("""COMPUTED_VALUE"""),"CEMEI PROFESSORA LINDOMAR DOMINGOS DA SILVA ANJOS")</f>
        <v>CEMEI PROFESSORA LINDOMAR DOMINGOS DA SILVA ANJOS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Height="1" spans="1:26">
      <c r="A161" s="3"/>
      <c r="B161" s="11" t="str">
        <f>IFERROR(__xludf.dummyfunction("""COMPUTED_VALUE"""),"REGIONAL 5")</f>
        <v>REGIONAL 5</v>
      </c>
      <c r="C161" s="11" t="str">
        <f>IFERROR(__xludf.dummyfunction("""COMPUTED_VALUE"""),"04/02/2026 09:54:58")</f>
        <v>04/02/2026 09:54:58</v>
      </c>
      <c r="D161" s="11" t="str">
        <f>IFERROR(__xludf.dummyfunction("""COMPUTED_VALUE"""),"18")</f>
        <v>18</v>
      </c>
      <c r="E161" s="11" t="str">
        <f>IFERROR(__xludf.dummyfunction("""COMPUTED_VALUE"""),"A. M. M. D. L")</f>
        <v>A. M. M. D. L</v>
      </c>
      <c r="F161" s="11" t="str">
        <f>IFERROR(__xludf.dummyfunction("""COMPUTED_VALUE"""),"11/07/2023")</f>
        <v>11/07/2023</v>
      </c>
      <c r="G161" s="11" t="str">
        <f>IFERROR(__xludf.dummyfunction("""COMPUTED_VALUE"""),"186******75")</f>
        <v>186******75</v>
      </c>
      <c r="H161" s="11" t="str">
        <f>IFERROR(__xludf.dummyfunction("""COMPUTED_VALUE"""),"INFANTIL 2")</f>
        <v>INFANTIL 2</v>
      </c>
      <c r="I161" s="12" t="str">
        <f>IFERROR(__xludf.dummyfunction("""COMPUTED_VALUE"""),"CEMEI PROFESSORA LINDOMAR DOMINGOS DA SILVA ANJOS")</f>
        <v>CEMEI PROFESSORA LINDOMAR DOMINGOS DA SILVA ANJOS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Height="1" spans="1:26">
      <c r="A162" s="3"/>
      <c r="B162" s="11" t="str">
        <f>IFERROR(__xludf.dummyfunction("""COMPUTED_VALUE"""),"REGIONAL 5")</f>
        <v>REGIONAL 5</v>
      </c>
      <c r="C162" s="11" t="str">
        <f>IFERROR(__xludf.dummyfunction("""COMPUTED_VALUE"""),"04/02/2026 12:41:36")</f>
        <v>04/02/2026 12:41:36</v>
      </c>
      <c r="D162" s="11" t="str">
        <f>IFERROR(__xludf.dummyfunction("""COMPUTED_VALUE"""),"19")</f>
        <v>19</v>
      </c>
      <c r="E162" s="11" t="str">
        <f>IFERROR(__xludf.dummyfunction("""COMPUTED_VALUE"""),"I. R. D. S")</f>
        <v>I. R. D. S</v>
      </c>
      <c r="F162" s="11" t="str">
        <f>IFERROR(__xludf.dummyfunction("""COMPUTED_VALUE"""),"17/04/2023")</f>
        <v>17/04/2023</v>
      </c>
      <c r="G162" s="11" t="str">
        <f>IFERROR(__xludf.dummyfunction("""COMPUTED_VALUE"""),"185******67")</f>
        <v>185******67</v>
      </c>
      <c r="H162" s="11" t="str">
        <f>IFERROR(__xludf.dummyfunction("""COMPUTED_VALUE"""),"INFANTIL 2")</f>
        <v>INFANTIL 2</v>
      </c>
      <c r="I162" s="12" t="str">
        <f>IFERROR(__xludf.dummyfunction("""COMPUTED_VALUE"""),"CEMEI PROFESSORA LINDOMAR DOMINGOS DA SILVA ANJOS")</f>
        <v>CEMEI PROFESSORA LINDOMAR DOMINGOS DA SILVA ANJOS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Height="1" spans="1:26">
      <c r="A163" s="3"/>
      <c r="B163" s="11" t="str">
        <f>IFERROR(__xludf.dummyfunction("""COMPUTED_VALUE"""),"REGIONAL 5")</f>
        <v>REGIONAL 5</v>
      </c>
      <c r="C163" s="11" t="str">
        <f>IFERROR(__xludf.dummyfunction("""COMPUTED_VALUE"""),"04/02/2026 15:23:58")</f>
        <v>04/02/2026 15:23:58</v>
      </c>
      <c r="D163" s="11" t="str">
        <f>IFERROR(__xludf.dummyfunction("""COMPUTED_VALUE"""),"20")</f>
        <v>20</v>
      </c>
      <c r="E163" s="11" t="str">
        <f>IFERROR(__xludf.dummyfunction("""COMPUTED_VALUE"""),"C. R. L. D. S")</f>
        <v>C. R. L. D. S</v>
      </c>
      <c r="F163" s="11" t="str">
        <f>IFERROR(__xludf.dummyfunction("""COMPUTED_VALUE"""),"05/06/2023")</f>
        <v>05/06/2023</v>
      </c>
      <c r="G163" s="11" t="str">
        <f>IFERROR(__xludf.dummyfunction("""COMPUTED_VALUE"""),"185******37")</f>
        <v>185******37</v>
      </c>
      <c r="H163" s="11" t="str">
        <f>IFERROR(__xludf.dummyfunction("""COMPUTED_VALUE"""),"INFANTIL 2")</f>
        <v>INFANTIL 2</v>
      </c>
      <c r="I163" s="12" t="str">
        <f>IFERROR(__xludf.dummyfunction("""COMPUTED_VALUE"""),"CEMEI PROFESSORA LINDOMAR DOMINGOS DA SILVA ANJOS")</f>
        <v>CEMEI PROFESSORA LINDOMAR DOMINGOS DA SILVA ANJOS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Height="1" spans="1:26">
      <c r="A164" s="3"/>
      <c r="B164" s="11" t="str">
        <f>IFERROR(__xludf.dummyfunction("""COMPUTED_VALUE"""),"REGIONAL 5")</f>
        <v>REGIONAL 5</v>
      </c>
      <c r="C164" s="11" t="str">
        <f>IFERROR(__xludf.dummyfunction("""COMPUTED_VALUE"""),"05/02/2026 16:07:06")</f>
        <v>05/02/2026 16:07:06</v>
      </c>
      <c r="D164" s="11" t="str">
        <f>IFERROR(__xludf.dummyfunction("""COMPUTED_VALUE"""),"21")</f>
        <v>21</v>
      </c>
      <c r="E164" s="11" t="str">
        <f>IFERROR(__xludf.dummyfunction("""COMPUTED_VALUE"""),"C. R. M. A. D. A")</f>
        <v>C. R. M. A. D. A</v>
      </c>
      <c r="F164" s="11" t="str">
        <f>IFERROR(__xludf.dummyfunction("""COMPUTED_VALUE"""),"11/08/2023")</f>
        <v>11/08/2023</v>
      </c>
      <c r="G164" s="11" t="str">
        <f>IFERROR(__xludf.dummyfunction("""COMPUTED_VALUE"""),"186******84")</f>
        <v>186******84</v>
      </c>
      <c r="H164" s="11" t="str">
        <f>IFERROR(__xludf.dummyfunction("""COMPUTED_VALUE"""),"INFANTIL 2")</f>
        <v>INFANTIL 2</v>
      </c>
      <c r="I164" s="12" t="str">
        <f>IFERROR(__xludf.dummyfunction("""COMPUTED_VALUE"""),"CEMEI PROFESSORA LINDOMAR DOMINGOS DA SILVA ANJOS")</f>
        <v>CEMEI PROFESSORA LINDOMAR DOMINGOS DA SILVA ANJOS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Height="1" spans="1:26">
      <c r="A165" s="3"/>
      <c r="B165" s="11" t="str">
        <f>IFERROR(__xludf.dummyfunction("""COMPUTED_VALUE"""),"REGIONAL 5")</f>
        <v>REGIONAL 5</v>
      </c>
      <c r="C165" s="11" t="str">
        <f>IFERROR(__xludf.dummyfunction("""COMPUTED_VALUE"""),"09/02/2026 09:40:47")</f>
        <v>09/02/2026 09:40:47</v>
      </c>
      <c r="D165" s="11" t="str">
        <f>IFERROR(__xludf.dummyfunction("""COMPUTED_VALUE"""),"22")</f>
        <v>22</v>
      </c>
      <c r="E165" s="11" t="str">
        <f>IFERROR(__xludf.dummyfunction("""COMPUTED_VALUE"""),"M. C. D. S")</f>
        <v>M. C. D. S</v>
      </c>
      <c r="F165" s="11" t="str">
        <f>IFERROR(__xludf.dummyfunction("""COMPUTED_VALUE"""),"26/01/2024")</f>
        <v>26/01/2024</v>
      </c>
      <c r="G165" s="11" t="str">
        <f>IFERROR(__xludf.dummyfunction("""COMPUTED_VALUE"""),"001******17")</f>
        <v>001******17</v>
      </c>
      <c r="H165" s="11" t="str">
        <f>IFERROR(__xludf.dummyfunction("""COMPUTED_VALUE"""),"INFANTIL 2")</f>
        <v>INFANTIL 2</v>
      </c>
      <c r="I165" s="12" t="str">
        <f>IFERROR(__xludf.dummyfunction("""COMPUTED_VALUE"""),"CEMEI PROFESSORA LINDOMAR DOMINGOS DA SILVA ANJOS")</f>
        <v>CEMEI PROFESSORA LINDOMAR DOMINGOS DA SILVA ANJOS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Height="1" spans="1:26">
      <c r="A166" s="3"/>
      <c r="B166" s="11" t="str">
        <f>IFERROR(__xludf.dummyfunction("""COMPUTED_VALUE"""),"REGIONAL 5")</f>
        <v>REGIONAL 5</v>
      </c>
      <c r="C166" s="11" t="str">
        <f>IFERROR(__xludf.dummyfunction("""COMPUTED_VALUE"""),"10/02/2026 07:55:39")</f>
        <v>10/02/2026 07:55:39</v>
      </c>
      <c r="D166" s="11" t="str">
        <f>IFERROR(__xludf.dummyfunction("""COMPUTED_VALUE"""),"23")</f>
        <v>23</v>
      </c>
      <c r="E166" s="11" t="str">
        <f>IFERROR(__xludf.dummyfunction("""COMPUTED_VALUE"""),"M. B. G")</f>
        <v>M. B. G</v>
      </c>
      <c r="F166" s="11" t="str">
        <f>IFERROR(__xludf.dummyfunction("""COMPUTED_VALUE"""),"07/12/2023")</f>
        <v>07/12/2023</v>
      </c>
      <c r="G166" s="11" t="str">
        <f>IFERROR(__xludf.dummyfunction("""COMPUTED_VALUE"""),"001******44")</f>
        <v>001******44</v>
      </c>
      <c r="H166" s="11" t="str">
        <f>IFERROR(__xludf.dummyfunction("""COMPUTED_VALUE"""),"INFANTIL 2")</f>
        <v>INFANTIL 2</v>
      </c>
      <c r="I166" s="12" t="str">
        <f>IFERROR(__xludf.dummyfunction("""COMPUTED_VALUE"""),"CEMEI PROFESSORA LINDOMAR DOMINGOS DA SILVA ANJOS")</f>
        <v>CEMEI PROFESSORA LINDOMAR DOMINGOS DA SILVA ANJOS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Height="1" spans="1:26">
      <c r="A167" s="3"/>
      <c r="B167" s="11" t="str">
        <f>IFERROR(__xludf.dummyfunction("""COMPUTED_VALUE"""),"REGIONAL 5")</f>
        <v>REGIONAL 5</v>
      </c>
      <c r="C167" s="11" t="str">
        <f>IFERROR(__xludf.dummyfunction("""COMPUTED_VALUE"""),"10/02/2026 08:09:08")</f>
        <v>10/02/2026 08:09:08</v>
      </c>
      <c r="D167" s="11" t="str">
        <f>IFERROR(__xludf.dummyfunction("""COMPUTED_VALUE"""),"24")</f>
        <v>24</v>
      </c>
      <c r="E167" s="11" t="str">
        <f>IFERROR(__xludf.dummyfunction("""COMPUTED_VALUE"""),"G. L. M. D. L")</f>
        <v>G. L. M. D. L</v>
      </c>
      <c r="F167" s="11" t="str">
        <f>IFERROR(__xludf.dummyfunction("""COMPUTED_VALUE"""),"08/06/2023")</f>
        <v>08/06/2023</v>
      </c>
      <c r="G167" s="11" t="str">
        <f>IFERROR(__xludf.dummyfunction("""COMPUTED_VALUE"""),"185******83")</f>
        <v>185******83</v>
      </c>
      <c r="H167" s="11" t="str">
        <f>IFERROR(__xludf.dummyfunction("""COMPUTED_VALUE"""),"INFANTIL 2")</f>
        <v>INFANTIL 2</v>
      </c>
      <c r="I167" s="12" t="str">
        <f>IFERROR(__xludf.dummyfunction("""COMPUTED_VALUE"""),"CEMEI PROFESSORA LINDOMAR DOMINGOS DA SILVA ANJOS")</f>
        <v>CEMEI PROFESSORA LINDOMAR DOMINGOS DA SILVA ANJOS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Height="1" spans="1:26">
      <c r="A168" s="3"/>
      <c r="B168" s="11" t="str">
        <f>IFERROR(__xludf.dummyfunction("""COMPUTED_VALUE"""),"REGIONAL 5")</f>
        <v>REGIONAL 5</v>
      </c>
      <c r="C168" s="11" t="str">
        <f>IFERROR(__xludf.dummyfunction("""COMPUTED_VALUE"""),"10/02/2026 11:18:19")</f>
        <v>10/02/2026 11:18:19</v>
      </c>
      <c r="D168" s="11" t="str">
        <f>IFERROR(__xludf.dummyfunction("""COMPUTED_VALUE"""),"25")</f>
        <v>25</v>
      </c>
      <c r="E168" s="11" t="str">
        <f>IFERROR(__xludf.dummyfunction("""COMPUTED_VALUE"""),"J. J. A. D. S")</f>
        <v>J. J. A. D. S</v>
      </c>
      <c r="F168" s="11" t="str">
        <f>IFERROR(__xludf.dummyfunction("""COMPUTED_VALUE"""),"05/07/2023")</f>
        <v>05/07/2023</v>
      </c>
      <c r="G168" s="11" t="str">
        <f>IFERROR(__xludf.dummyfunction("""COMPUTED_VALUE"""),"185******70")</f>
        <v>185******70</v>
      </c>
      <c r="H168" s="11" t="str">
        <f>IFERROR(__xludf.dummyfunction("""COMPUTED_VALUE"""),"INFANTIL 2")</f>
        <v>INFANTIL 2</v>
      </c>
      <c r="I168" s="12" t="str">
        <f>IFERROR(__xludf.dummyfunction("""COMPUTED_VALUE"""),"CEMEI PROFESSORA LINDOMAR DOMINGOS DA SILVA ANJOS")</f>
        <v>CEMEI PROFESSORA LINDOMAR DOMINGOS DA SILVA ANJOS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Height="1" spans="1:26">
      <c r="A169" s="3"/>
      <c r="B169" s="11" t="str">
        <f>IFERROR(__xludf.dummyfunction("""COMPUTED_VALUE"""),"REGIONAL 5")</f>
        <v>REGIONAL 5</v>
      </c>
      <c r="C169" s="11" t="str">
        <f>IFERROR(__xludf.dummyfunction("""COMPUTED_VALUE"""),"11/02/2026 13:53:52")</f>
        <v>11/02/2026 13:53:52</v>
      </c>
      <c r="D169" s="11" t="str">
        <f>IFERROR(__xludf.dummyfunction("""COMPUTED_VALUE"""),"26")</f>
        <v>26</v>
      </c>
      <c r="E169" s="11" t="str">
        <f>IFERROR(__xludf.dummyfunction("""COMPUTED_VALUE"""),"Y. M. V. D. S. N")</f>
        <v>Y. M. V. D. S. N</v>
      </c>
      <c r="F169" s="11" t="str">
        <f>IFERROR(__xludf.dummyfunction("""COMPUTED_VALUE"""),"10/11/2023")</f>
        <v>10/11/2023</v>
      </c>
      <c r="G169" s="11" t="str">
        <f>IFERROR(__xludf.dummyfunction("""COMPUTED_VALUE"""),"000******22")</f>
        <v>000******22</v>
      </c>
      <c r="H169" s="11" t="str">
        <f>IFERROR(__xludf.dummyfunction("""COMPUTED_VALUE"""),"INFANTIL 2")</f>
        <v>INFANTIL 2</v>
      </c>
      <c r="I169" s="12" t="str">
        <f>IFERROR(__xludf.dummyfunction("""COMPUTED_VALUE"""),"CEMEI PROFESSORA LINDOMAR DOMINGOS DA SILVA ANJOS")</f>
        <v>CEMEI PROFESSORA LINDOMAR DOMINGOS DA SILVA ANJOS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Height="1" spans="1:26">
      <c r="A170" s="3"/>
      <c r="B170" s="11" t="str">
        <f>IFERROR(__xludf.dummyfunction("""COMPUTED_VALUE"""),"REGIONAL 5")</f>
        <v>REGIONAL 5</v>
      </c>
      <c r="C170" s="11" t="str">
        <f>IFERROR(__xludf.dummyfunction("""COMPUTED_VALUE"""),"19/02/2026 09:30:52")</f>
        <v>19/02/2026 09:30:52</v>
      </c>
      <c r="D170" s="11" t="str">
        <f>IFERROR(__xludf.dummyfunction("""COMPUTED_VALUE"""),"27")</f>
        <v>27</v>
      </c>
      <c r="E170" s="11" t="str">
        <f>IFERROR(__xludf.dummyfunction("""COMPUTED_VALUE"""),"B. D. S. F")</f>
        <v>B. D. S. F</v>
      </c>
      <c r="F170" s="11" t="str">
        <f>IFERROR(__xludf.dummyfunction("""COMPUTED_VALUE"""),"25/04/2023")</f>
        <v>25/04/2023</v>
      </c>
      <c r="G170" s="11" t="str">
        <f>IFERROR(__xludf.dummyfunction("""COMPUTED_VALUE"""),"185******70")</f>
        <v>185******70</v>
      </c>
      <c r="H170" s="11" t="str">
        <f>IFERROR(__xludf.dummyfunction("""COMPUTED_VALUE"""),"INFANTIL 2")</f>
        <v>INFANTIL 2</v>
      </c>
      <c r="I170" s="12" t="str">
        <f>IFERROR(__xludf.dummyfunction("""COMPUTED_VALUE"""),"CEMEI PROFESSORA LINDOMAR DOMINGOS DA SILVA ANJOS")</f>
        <v>CEMEI PROFESSORA LINDOMAR DOMINGOS DA SILVA ANJOS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Height="1" spans="1:26">
      <c r="A171" s="3"/>
      <c r="B171" s="11" t="str">
        <f>IFERROR(__xludf.dummyfunction("""COMPUTED_VALUE"""),"REGIONAL 5")</f>
        <v>REGIONAL 5</v>
      </c>
      <c r="C171" s="11" t="str">
        <f>IFERROR(__xludf.dummyfunction("""COMPUTED_VALUE"""),"03/03/2026 12:02:06")</f>
        <v>03/03/2026 12:02:06</v>
      </c>
      <c r="D171" s="11" t="str">
        <f>IFERROR(__xludf.dummyfunction("""COMPUTED_VALUE"""),"28")</f>
        <v>28</v>
      </c>
      <c r="E171" s="11" t="str">
        <f>IFERROR(__xludf.dummyfunction("""COMPUTED_VALUE"""),"H. B. D. S")</f>
        <v>H. B. D. S</v>
      </c>
      <c r="F171" s="11" t="str">
        <f>IFERROR(__xludf.dummyfunction("""COMPUTED_VALUE"""),"27/06/2023")</f>
        <v>27/06/2023</v>
      </c>
      <c r="G171" s="11" t="str">
        <f>IFERROR(__xludf.dummyfunction("""COMPUTED_VALUE"""),"185******04")</f>
        <v>185******04</v>
      </c>
      <c r="H171" s="11" t="str">
        <f>IFERROR(__xludf.dummyfunction("""COMPUTED_VALUE"""),"INFANTIL 2")</f>
        <v>INFANTIL 2</v>
      </c>
      <c r="I171" s="12" t="str">
        <f>IFERROR(__xludf.dummyfunction("""COMPUTED_VALUE"""),"CEMEI PROFESSORA LINDOMAR DOMINGOS DA SILVA ANJOS")</f>
        <v>CEMEI PROFESSORA LINDOMAR DOMINGOS DA SILVA ANJOS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Height="1" spans="1:26">
      <c r="A172" s="3"/>
      <c r="B172" s="11" t="str">
        <f>IFERROR(__xludf.dummyfunction("""COMPUTED_VALUE"""),"REGIONAL 5")</f>
        <v>REGIONAL 5</v>
      </c>
      <c r="C172" s="11" t="str">
        <f>IFERROR(__xludf.dummyfunction("""COMPUTED_VALUE"""),"04/03/2026 07:55:35")</f>
        <v>04/03/2026 07:55:35</v>
      </c>
      <c r="D172" s="11" t="str">
        <f>IFERROR(__xludf.dummyfunction("""COMPUTED_VALUE"""),"29")</f>
        <v>29</v>
      </c>
      <c r="E172" s="11" t="str">
        <f>IFERROR(__xludf.dummyfunction("""COMPUTED_VALUE"""),"A. G. P. D. S")</f>
        <v>A. G. P. D. S</v>
      </c>
      <c r="F172" s="11" t="str">
        <f>IFERROR(__xludf.dummyfunction("""COMPUTED_VALUE"""),"16/11/2023")</f>
        <v>16/11/2023</v>
      </c>
      <c r="G172" s="11" t="str">
        <f>IFERROR(__xludf.dummyfunction("""COMPUTED_VALUE"""),"001******73")</f>
        <v>001******73</v>
      </c>
      <c r="H172" s="11" t="str">
        <f>IFERROR(__xludf.dummyfunction("""COMPUTED_VALUE"""),"INFANTIL 2")</f>
        <v>INFANTIL 2</v>
      </c>
      <c r="I172" s="12" t="str">
        <f>IFERROR(__xludf.dummyfunction("""COMPUTED_VALUE"""),"CEMEI PROFESSORA LINDOMAR DOMINGOS DA SILVA ANJOS")</f>
        <v>CEMEI PROFESSORA LINDOMAR DOMINGOS DA SILVA ANJOS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Height="1" spans="1:26">
      <c r="A173" s="3"/>
      <c r="B173" s="11" t="str">
        <f>IFERROR(__xludf.dummyfunction("""COMPUTED_VALUE"""),"REGIONAL 5")</f>
        <v>REGIONAL 5</v>
      </c>
      <c r="C173" s="11" t="str">
        <f>IFERROR(__xludf.dummyfunction("""COMPUTED_VALUE"""),"12/03/2026 11:41:32")</f>
        <v>12/03/2026 11:41:32</v>
      </c>
      <c r="D173" s="11" t="str">
        <f>IFERROR(__xludf.dummyfunction("""COMPUTED_VALUE"""),"30")</f>
        <v>30</v>
      </c>
      <c r="E173" s="11" t="str">
        <f>IFERROR(__xludf.dummyfunction("""COMPUTED_VALUE"""),"A. H. S. D. S")</f>
        <v>A. H. S. D. S</v>
      </c>
      <c r="F173" s="11" t="str">
        <f>IFERROR(__xludf.dummyfunction("""COMPUTED_VALUE"""),"21/09/2023")</f>
        <v>21/09/2023</v>
      </c>
      <c r="G173" s="11" t="str">
        <f>IFERROR(__xludf.dummyfunction("""COMPUTED_VALUE"""),"186******03")</f>
        <v>186******03</v>
      </c>
      <c r="H173" s="11" t="str">
        <f>IFERROR(__xludf.dummyfunction("""COMPUTED_VALUE"""),"INFANTIL 2")</f>
        <v>INFANTIL 2</v>
      </c>
      <c r="I173" s="12" t="str">
        <f>IFERROR(__xludf.dummyfunction("""COMPUTED_VALUE"""),"CEMEI PROFESSORA LINDOMAR DOMINGOS DA SILVA ANJOS")</f>
        <v>CEMEI PROFESSORA LINDOMAR DOMINGOS DA SILVA ANJOS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Height="1" spans="1:26">
      <c r="A174" s="3"/>
      <c r="B174" s="11" t="str">
        <f>IFERROR(__xludf.dummyfunction("""COMPUTED_VALUE"""),"REGIONAL 5")</f>
        <v>REGIONAL 5</v>
      </c>
      <c r="C174" s="11" t="str">
        <f>IFERROR(__xludf.dummyfunction("""COMPUTED_VALUE"""),"25/04/2026 06:48:05")</f>
        <v>25/04/2026 06:48:05</v>
      </c>
      <c r="D174" s="11" t="str">
        <f>IFERROR(__xludf.dummyfunction("""COMPUTED_VALUE"""),"31")</f>
        <v>31</v>
      </c>
      <c r="E174" s="11" t="str">
        <f>IFERROR(__xludf.dummyfunction("""COMPUTED_VALUE"""),"C. M. D. A")</f>
        <v>C. M. D. A</v>
      </c>
      <c r="F174" s="11" t="str">
        <f>IFERROR(__xludf.dummyfunction("""COMPUTED_VALUE"""),"23/09/2023")</f>
        <v>23/09/2023</v>
      </c>
      <c r="G174" s="11" t="str">
        <f>IFERROR(__xludf.dummyfunction("""COMPUTED_VALUE"""),"000******91")</f>
        <v>000******91</v>
      </c>
      <c r="H174" s="11" t="str">
        <f>IFERROR(__xludf.dummyfunction("""COMPUTED_VALUE"""),"INFANTIL 2")</f>
        <v>INFANTIL 2</v>
      </c>
      <c r="I174" s="12" t="str">
        <f>IFERROR(__xludf.dummyfunction("""COMPUTED_VALUE"""),"CEMEI PROFESSORA LINDOMAR DOMINGOS DA SILVA ANJOS")</f>
        <v>CEMEI PROFESSORA LINDOMAR DOMINGOS DA SILVA ANJOS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Height="1" spans="1:26">
      <c r="A175" s="3"/>
      <c r="B175" s="11" t="str">
        <f>IFERROR(__xludf.dummyfunction("""COMPUTED_VALUE"""),"REGIONAL 5")</f>
        <v>REGIONAL 5</v>
      </c>
      <c r="C175" s="11" t="str">
        <f>IFERROR(__xludf.dummyfunction("""COMPUTED_VALUE"""),"29/06/2026 09:11:46")</f>
        <v>29/06/2026 09:11:46</v>
      </c>
      <c r="D175" s="11" t="str">
        <f>IFERROR(__xludf.dummyfunction("""COMPUTED_VALUE"""),"32")</f>
        <v>32</v>
      </c>
      <c r="E175" s="11" t="str">
        <f>IFERROR(__xludf.dummyfunction("""COMPUTED_VALUE"""),"K. R. B. D. S")</f>
        <v>K. R. B. D. S</v>
      </c>
      <c r="F175" s="11" t="str">
        <f>IFERROR(__xludf.dummyfunction("""COMPUTED_VALUE"""),"16/02/2024")</f>
        <v>16/02/2024</v>
      </c>
      <c r="G175" s="11" t="str">
        <f>IFERROR(__xludf.dummyfunction("""COMPUTED_VALUE"""),"001******30")</f>
        <v>001******30</v>
      </c>
      <c r="H175" s="11" t="str">
        <f>IFERROR(__xludf.dummyfunction("""COMPUTED_VALUE"""),"INFANTIL 2")</f>
        <v>INFANTIL 2</v>
      </c>
      <c r="I175" s="12" t="str">
        <f>IFERROR(__xludf.dummyfunction("""COMPUTED_VALUE"""),"CEMEI PROFESSORA LINDOMAR DOMINGOS DA SILVA ANJOS")</f>
        <v>CEMEI PROFESSORA LINDOMAR DOMINGOS DA SILVA ANJOS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Height="1" spans="1:26">
      <c r="A176" s="3"/>
      <c r="B176" s="11" t="str">
        <f>IFERROR(__xludf.dummyfunction("""COMPUTED_VALUE"""),"REGIONAL 5")</f>
        <v>REGIONAL 5</v>
      </c>
      <c r="C176" s="11" t="str">
        <f>IFERROR(__xludf.dummyfunction("""COMPUTED_VALUE"""),"29/07/2026 11:41:38")</f>
        <v>29/07/2026 11:41:38</v>
      </c>
      <c r="D176" s="11" t="str">
        <f>IFERROR(__xludf.dummyfunction("""COMPUTED_VALUE"""),"33")</f>
        <v>33</v>
      </c>
      <c r="E176" s="11" t="str">
        <f>IFERROR(__xludf.dummyfunction("""COMPUTED_VALUE"""),"M. S. D. M")</f>
        <v>M. S. D. M</v>
      </c>
      <c r="F176" s="11" t="str">
        <f>IFERROR(__xludf.dummyfunction("""COMPUTED_VALUE"""),"11/09/2023")</f>
        <v>11/09/2023</v>
      </c>
      <c r="G176" s="11" t="str">
        <f>IFERROR(__xludf.dummyfunction("""COMPUTED_VALUE"""),"186******09")</f>
        <v>186******09</v>
      </c>
      <c r="H176" s="11" t="str">
        <f>IFERROR(__xludf.dummyfunction("""COMPUTED_VALUE"""),"INFANTIL 2")</f>
        <v>INFANTIL 2</v>
      </c>
      <c r="I176" s="12" t="str">
        <f>IFERROR(__xludf.dummyfunction("""COMPUTED_VALUE"""),"CEMEI PROFESSORA LINDOMAR DOMINGOS DA SILVA ANJOS")</f>
        <v>CEMEI PROFESSORA LINDOMAR DOMINGOS DA SILVA ANJOS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Height="1" spans="1:26">
      <c r="A177" s="3"/>
      <c r="B177" s="11" t="str">
        <f>IFERROR(__xludf.dummyfunction("""COMPUTED_VALUE"""),"REGIONAL 5")</f>
        <v>REGIONAL 5</v>
      </c>
      <c r="C177" s="11" t="str">
        <f>IFERROR(__xludf.dummyfunction("""COMPUTED_VALUE"""),"21/08/2026 17:45:10")</f>
        <v>21/08/2026 17:45:10</v>
      </c>
      <c r="D177" s="11" t="str">
        <f>IFERROR(__xludf.dummyfunction("""COMPUTED_VALUE"""),"34")</f>
        <v>34</v>
      </c>
      <c r="E177" s="11" t="str">
        <f>IFERROR(__xludf.dummyfunction("""COMPUTED_VALUE"""),"A. S")</f>
        <v>A. S</v>
      </c>
      <c r="F177" s="11" t="str">
        <f>IFERROR(__xludf.dummyfunction("""COMPUTED_VALUE"""),"07/05/2023")</f>
        <v>07/05/2023</v>
      </c>
      <c r="G177" s="11" t="str">
        <f>IFERROR(__xludf.dummyfunction("""COMPUTED_VALUE"""),"166******09")</f>
        <v>166******09</v>
      </c>
      <c r="H177" s="11" t="str">
        <f>IFERROR(__xludf.dummyfunction("""COMPUTED_VALUE"""),"INFANTIL 2")</f>
        <v>INFANTIL 2</v>
      </c>
      <c r="I177" s="12" t="str">
        <f>IFERROR(__xludf.dummyfunction("""COMPUTED_VALUE"""),"CEMEI PROFESSORA LINDOMAR DOMINGOS DA SILVA ANJOS")</f>
        <v>CEMEI PROFESSORA LINDOMAR DOMINGOS DA SILVA ANJOS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Height="1" spans="1:26">
      <c r="A178" s="3"/>
      <c r="B178" s="11" t="str">
        <f>IFERROR(__xludf.dummyfunction("""COMPUTED_VALUE"""),"REGIONAL 5")</f>
        <v>REGIONAL 5</v>
      </c>
      <c r="C178" s="11" t="str">
        <f>IFERROR(__xludf.dummyfunction("""COMPUTED_VALUE"""),"17/09/2026 11:46:58")</f>
        <v>17/09/2026 11:46:58</v>
      </c>
      <c r="D178" s="11" t="str">
        <f>IFERROR(__xludf.dummyfunction("""COMPUTED_VALUE"""),"35")</f>
        <v>35</v>
      </c>
      <c r="E178" s="11" t="str">
        <f>IFERROR(__xludf.dummyfunction("""COMPUTED_VALUE"""),"H. W. V. P")</f>
        <v>H. W. V. P</v>
      </c>
      <c r="F178" s="11" t="str">
        <f>IFERROR(__xludf.dummyfunction("""COMPUTED_VALUE"""),"31/05/2023")</f>
        <v>31/05/2023</v>
      </c>
      <c r="G178" s="11" t="str">
        <f>IFERROR(__xludf.dummyfunction("""COMPUTED_VALUE"""),"185******09")</f>
        <v>185******09</v>
      </c>
      <c r="H178" s="11" t="str">
        <f>IFERROR(__xludf.dummyfunction("""COMPUTED_VALUE"""),"INFANTIL 2")</f>
        <v>INFANTIL 2</v>
      </c>
      <c r="I178" s="12" t="str">
        <f>IFERROR(__xludf.dummyfunction("""COMPUTED_VALUE"""),"CEMEI PROFESSORA LINDOMAR DOMINGOS DA SILVA ANJOS")</f>
        <v>CEMEI PROFESSORA LINDOMAR DOMINGOS DA SILVA ANJOS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Height="1" spans="1:26">
      <c r="A179" s="3"/>
      <c r="B179" s="11" t="str">
        <f>IFERROR(__xludf.dummyfunction("""COMPUTED_VALUE"""),"REGIONAL 5")</f>
        <v>REGIONAL 5</v>
      </c>
      <c r="C179" s="11" t="str">
        <f>IFERROR(__xludf.dummyfunction("""COMPUTED_VALUE"""),"28/01/2026 08:09:51")</f>
        <v>28/01/2026 08:09:51</v>
      </c>
      <c r="D179" s="11" t="str">
        <f>IFERROR(__xludf.dummyfunction("""COMPUTED_VALUE"""),"1")</f>
        <v>1</v>
      </c>
      <c r="E179" s="11" t="str">
        <f>IFERROR(__xludf.dummyfunction("""COMPUTED_VALUE"""),"J. V. M. D. S. S")</f>
        <v>J. V. M. D. S. S</v>
      </c>
      <c r="F179" s="11" t="str">
        <f>IFERROR(__xludf.dummyfunction("""COMPUTED_VALUE"""),"11/08/2022")</f>
        <v>11/08/2022</v>
      </c>
      <c r="G179" s="11" t="str">
        <f>IFERROR(__xludf.dummyfunction("""COMPUTED_VALUE"""),"182******05")</f>
        <v>182******05</v>
      </c>
      <c r="H179" s="11" t="str">
        <f>IFERROR(__xludf.dummyfunction("""COMPUTED_VALUE"""),"INFANTIL 3")</f>
        <v>INFANTIL 3</v>
      </c>
      <c r="I179" s="12" t="str">
        <f>IFERROR(__xludf.dummyfunction("""COMPUTED_VALUE"""),"CEMEI PROFESSORA LINDOMAR DOMINGOS DA SILVA ANJOS")</f>
        <v>CEMEI PROFESSORA LINDOMAR DOMINGOS DA SILVA ANJOS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Height="1" spans="1:26">
      <c r="A180" s="3"/>
      <c r="B180" s="11" t="str">
        <f>IFERROR(__xludf.dummyfunction("""COMPUTED_VALUE"""),"REGIONAL 5")</f>
        <v>REGIONAL 5</v>
      </c>
      <c r="C180" s="11" t="str">
        <f>IFERROR(__xludf.dummyfunction("""COMPUTED_VALUE"""),"28/01/2026 08:18:50")</f>
        <v>28/01/2026 08:18:50</v>
      </c>
      <c r="D180" s="11" t="str">
        <f>IFERROR(__xludf.dummyfunction("""COMPUTED_VALUE"""),"2")</f>
        <v>2</v>
      </c>
      <c r="E180" s="11" t="str">
        <f>IFERROR(__xludf.dummyfunction("""COMPUTED_VALUE"""),"T. S. A. S")</f>
        <v>T. S. A. S</v>
      </c>
      <c r="F180" s="11" t="str">
        <f>IFERROR(__xludf.dummyfunction("""COMPUTED_VALUE"""),"25/06/2022")</f>
        <v>25/06/2022</v>
      </c>
      <c r="G180" s="11" t="str">
        <f>IFERROR(__xludf.dummyfunction("""COMPUTED_VALUE"""),"182******52")</f>
        <v>182******52</v>
      </c>
      <c r="H180" s="11" t="str">
        <f>IFERROR(__xludf.dummyfunction("""COMPUTED_VALUE"""),"INFANTIL 3")</f>
        <v>INFANTIL 3</v>
      </c>
      <c r="I180" s="12" t="str">
        <f>IFERROR(__xludf.dummyfunction("""COMPUTED_VALUE"""),"CEMEI PROFESSORA LINDOMAR DOMINGOS DA SILVA ANJOS")</f>
        <v>CEMEI PROFESSORA LINDOMAR DOMINGOS DA SILVA ANJOS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Height="1" spans="1:26">
      <c r="A181" s="3"/>
      <c r="B181" s="11" t="str">
        <f>IFERROR(__xludf.dummyfunction("""COMPUTED_VALUE"""),"REGIONAL 5")</f>
        <v>REGIONAL 5</v>
      </c>
      <c r="C181" s="11" t="str">
        <f>IFERROR(__xludf.dummyfunction("""COMPUTED_VALUE"""),"28/01/2026 08:24:51")</f>
        <v>28/01/2026 08:24:51</v>
      </c>
      <c r="D181" s="11" t="str">
        <f>IFERROR(__xludf.dummyfunction("""COMPUTED_VALUE"""),"3")</f>
        <v>3</v>
      </c>
      <c r="E181" s="11" t="str">
        <f>IFERROR(__xludf.dummyfunction("""COMPUTED_VALUE"""),"K. L. V. D. S")</f>
        <v>K. L. V. D. S</v>
      </c>
      <c r="F181" s="11" t="str">
        <f>IFERROR(__xludf.dummyfunction("""COMPUTED_VALUE"""),"14/01/2023")</f>
        <v>14/01/2023</v>
      </c>
      <c r="G181" s="11" t="str">
        <f>IFERROR(__xludf.dummyfunction("""COMPUTED_VALUE"""),"184******86")</f>
        <v>184******86</v>
      </c>
      <c r="H181" s="11" t="str">
        <f>IFERROR(__xludf.dummyfunction("""COMPUTED_VALUE"""),"INFANTIL 3")</f>
        <v>INFANTIL 3</v>
      </c>
      <c r="I181" s="12" t="str">
        <f>IFERROR(__xludf.dummyfunction("""COMPUTED_VALUE"""),"CEMEI PROFESSORA LINDOMAR DOMINGOS DA SILVA ANJOS")</f>
        <v>CEMEI PROFESSORA LINDOMAR DOMINGOS DA SILVA ANJOS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Height="1" spans="1:26">
      <c r="A182" s="3"/>
      <c r="B182" s="11" t="str">
        <f>IFERROR(__xludf.dummyfunction("""COMPUTED_VALUE"""),"REGIONAL 5")</f>
        <v>REGIONAL 5</v>
      </c>
      <c r="C182" s="11" t="str">
        <f>IFERROR(__xludf.dummyfunction("""COMPUTED_VALUE"""),"28/01/2026 08:40:24")</f>
        <v>28/01/2026 08:40:24</v>
      </c>
      <c r="D182" s="11" t="str">
        <f>IFERROR(__xludf.dummyfunction("""COMPUTED_VALUE"""),"4")</f>
        <v>4</v>
      </c>
      <c r="E182" s="11" t="str">
        <f>IFERROR(__xludf.dummyfunction("""COMPUTED_VALUE"""),"A. H. D. O. S")</f>
        <v>A. H. D. O. S</v>
      </c>
      <c r="F182" s="11" t="str">
        <f>IFERROR(__xludf.dummyfunction("""COMPUTED_VALUE"""),"16/05/2022")</f>
        <v>16/05/2022</v>
      </c>
      <c r="G182" s="11" t="str">
        <f>IFERROR(__xludf.dummyfunction("""COMPUTED_VALUE"""),"181******57")</f>
        <v>181******57</v>
      </c>
      <c r="H182" s="11" t="str">
        <f>IFERROR(__xludf.dummyfunction("""COMPUTED_VALUE"""),"INFANTIL 3")</f>
        <v>INFANTIL 3</v>
      </c>
      <c r="I182" s="12" t="str">
        <f>IFERROR(__xludf.dummyfunction("""COMPUTED_VALUE"""),"CEMEI PROFESSORA LINDOMAR DOMINGOS DA SILVA ANJOS")</f>
        <v>CEMEI PROFESSORA LINDOMAR DOMINGOS DA SILVA ANJOS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Height="1" spans="1:26">
      <c r="A183" s="3"/>
      <c r="B183" s="11" t="str">
        <f>IFERROR(__xludf.dummyfunction("""COMPUTED_VALUE"""),"REGIONAL 5")</f>
        <v>REGIONAL 5</v>
      </c>
      <c r="C183" s="11" t="str">
        <f>IFERROR(__xludf.dummyfunction("""COMPUTED_VALUE"""),"28/01/2026 08:49:30")</f>
        <v>28/01/2026 08:49:30</v>
      </c>
      <c r="D183" s="11" t="str">
        <f>IFERROR(__xludf.dummyfunction("""COMPUTED_VALUE"""),"5")</f>
        <v>5</v>
      </c>
      <c r="E183" s="11" t="str">
        <f>IFERROR(__xludf.dummyfunction("""COMPUTED_VALUE"""),"J. B. S. D. S")</f>
        <v>J. B. S. D. S</v>
      </c>
      <c r="F183" s="11" t="str">
        <f>IFERROR(__xludf.dummyfunction("""COMPUTED_VALUE"""),"06/03/2023")</f>
        <v>06/03/2023</v>
      </c>
      <c r="G183" s="11" t="str">
        <f>IFERROR(__xludf.dummyfunction("""COMPUTED_VALUE"""),"184******70")</f>
        <v>184******70</v>
      </c>
      <c r="H183" s="11" t="str">
        <f>IFERROR(__xludf.dummyfunction("""COMPUTED_VALUE"""),"INFANTIL 3")</f>
        <v>INFANTIL 3</v>
      </c>
      <c r="I183" s="12" t="str">
        <f>IFERROR(__xludf.dummyfunction("""COMPUTED_VALUE"""),"CEMEI PROFESSORA LINDOMAR DOMINGOS DA SILVA ANJOS")</f>
        <v>CEMEI PROFESSORA LINDOMAR DOMINGOS DA SILVA ANJOS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Height="1" spans="1:26">
      <c r="A184" s="3"/>
      <c r="B184" s="11" t="str">
        <f>IFERROR(__xludf.dummyfunction("""COMPUTED_VALUE"""),"REGIONAL 5")</f>
        <v>REGIONAL 5</v>
      </c>
      <c r="C184" s="11" t="str">
        <f>IFERROR(__xludf.dummyfunction("""COMPUTED_VALUE"""),"28/01/2026 10:50:39")</f>
        <v>28/01/2026 10:50:39</v>
      </c>
      <c r="D184" s="11" t="str">
        <f>IFERROR(__xludf.dummyfunction("""COMPUTED_VALUE"""),"6")</f>
        <v>6</v>
      </c>
      <c r="E184" s="11" t="str">
        <f>IFERROR(__xludf.dummyfunction("""COMPUTED_VALUE"""),"G. S. R")</f>
        <v>G. S. R</v>
      </c>
      <c r="F184" s="11" t="str">
        <f>IFERROR(__xludf.dummyfunction("""COMPUTED_VALUE"""),"14/04/2022")</f>
        <v>14/04/2022</v>
      </c>
      <c r="G184" s="11" t="str">
        <f>IFERROR(__xludf.dummyfunction("""COMPUTED_VALUE"""),"181******84")</f>
        <v>181******84</v>
      </c>
      <c r="H184" s="11" t="str">
        <f>IFERROR(__xludf.dummyfunction("""COMPUTED_VALUE"""),"INFANTIL 3")</f>
        <v>INFANTIL 3</v>
      </c>
      <c r="I184" s="12" t="str">
        <f>IFERROR(__xludf.dummyfunction("""COMPUTED_VALUE"""),"CEMEI PROFESSORA LINDOMAR DOMINGOS DA SILVA ANJOS")</f>
        <v>CEMEI PROFESSORA LINDOMAR DOMINGOS DA SILVA ANJOS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Height="1" spans="1:26">
      <c r="A185" s="3"/>
      <c r="B185" s="11" t="str">
        <f>IFERROR(__xludf.dummyfunction("""COMPUTED_VALUE"""),"REGIONAL 5")</f>
        <v>REGIONAL 5</v>
      </c>
      <c r="C185" s="11" t="str">
        <f>IFERROR(__xludf.dummyfunction("""COMPUTED_VALUE"""),"28/01/2026 15:27:57")</f>
        <v>28/01/2026 15:27:57</v>
      </c>
      <c r="D185" s="11" t="str">
        <f>IFERROR(__xludf.dummyfunction("""COMPUTED_VALUE"""),"7")</f>
        <v>7</v>
      </c>
      <c r="E185" s="11" t="str">
        <f>IFERROR(__xludf.dummyfunction("""COMPUTED_VALUE"""),"A. B. N. D. S")</f>
        <v>A. B. N. D. S</v>
      </c>
      <c r="F185" s="11" t="str">
        <f>IFERROR(__xludf.dummyfunction("""COMPUTED_VALUE"""),"19/04/2022")</f>
        <v>19/04/2022</v>
      </c>
      <c r="G185" s="11" t="str">
        <f>IFERROR(__xludf.dummyfunction("""COMPUTED_VALUE"""),"181******03")</f>
        <v>181******03</v>
      </c>
      <c r="H185" s="11" t="str">
        <f>IFERROR(__xludf.dummyfunction("""COMPUTED_VALUE"""),"INFANTIL 3")</f>
        <v>INFANTIL 3</v>
      </c>
      <c r="I185" s="12" t="str">
        <f>IFERROR(__xludf.dummyfunction("""COMPUTED_VALUE"""),"CEMEI PROFESSORA LINDOMAR DOMINGOS DA SILVA ANJOS")</f>
        <v>CEMEI PROFESSORA LINDOMAR DOMINGOS DA SILVA ANJOS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Height="1" spans="1:26">
      <c r="A186" s="3"/>
      <c r="B186" s="11" t="str">
        <f>IFERROR(__xludf.dummyfunction("""COMPUTED_VALUE"""),"REGIONAL 5")</f>
        <v>REGIONAL 5</v>
      </c>
      <c r="C186" s="11" t="str">
        <f>IFERROR(__xludf.dummyfunction("""COMPUTED_VALUE"""),"28/01/2026 16:26:14")</f>
        <v>28/01/2026 16:26:14</v>
      </c>
      <c r="D186" s="11" t="str">
        <f>IFERROR(__xludf.dummyfunction("""COMPUTED_VALUE"""),"8")</f>
        <v>8</v>
      </c>
      <c r="E186" s="11" t="str">
        <f>IFERROR(__xludf.dummyfunction("""COMPUTED_VALUE"""),"A. T. S. D. S")</f>
        <v>A. T. S. D. S</v>
      </c>
      <c r="F186" s="11" t="str">
        <f>IFERROR(__xludf.dummyfunction("""COMPUTED_VALUE"""),"13/12/2022")</f>
        <v>13/12/2022</v>
      </c>
      <c r="G186" s="11" t="str">
        <f>IFERROR(__xludf.dummyfunction("""COMPUTED_VALUE"""),"184******30")</f>
        <v>184******30</v>
      </c>
      <c r="H186" s="11" t="str">
        <f>IFERROR(__xludf.dummyfunction("""COMPUTED_VALUE"""),"INFANTIL 3")</f>
        <v>INFANTIL 3</v>
      </c>
      <c r="I186" s="12" t="str">
        <f>IFERROR(__xludf.dummyfunction("""COMPUTED_VALUE"""),"CEMEI PROFESSORA LINDOMAR DOMINGOS DA SILVA ANJOS")</f>
        <v>CEMEI PROFESSORA LINDOMAR DOMINGOS DA SILVA ANJOS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Height="1" spans="1:26">
      <c r="A187" s="3"/>
      <c r="B187" s="11" t="str">
        <f>IFERROR(__xludf.dummyfunction("""COMPUTED_VALUE"""),"REGIONAL 5")</f>
        <v>REGIONAL 5</v>
      </c>
      <c r="C187" s="11" t="str">
        <f>IFERROR(__xludf.dummyfunction("""COMPUTED_VALUE"""),"28/01/2026 22:31:23")</f>
        <v>28/01/2026 22:31:23</v>
      </c>
      <c r="D187" s="11" t="str">
        <f>IFERROR(__xludf.dummyfunction("""COMPUTED_VALUE"""),"9")</f>
        <v>9</v>
      </c>
      <c r="E187" s="11" t="str">
        <f>IFERROR(__xludf.dummyfunction("""COMPUTED_VALUE"""),"L. M. D. H. S")</f>
        <v>L. M. D. H. S</v>
      </c>
      <c r="F187" s="11" t="str">
        <f>IFERROR(__xludf.dummyfunction("""COMPUTED_VALUE"""),"26/12/2022")</f>
        <v>26/12/2022</v>
      </c>
      <c r="G187" s="11" t="str">
        <f>IFERROR(__xludf.dummyfunction("""COMPUTED_VALUE"""),"184******90")</f>
        <v>184******90</v>
      </c>
      <c r="H187" s="11" t="str">
        <f>IFERROR(__xludf.dummyfunction("""COMPUTED_VALUE"""),"INFANTIL 3")</f>
        <v>INFANTIL 3</v>
      </c>
      <c r="I187" s="12" t="str">
        <f>IFERROR(__xludf.dummyfunction("""COMPUTED_VALUE"""),"CEMEI PROFESSORA LINDOMAR DOMINGOS DA SILVA ANJOS")</f>
        <v>CEMEI PROFESSORA LINDOMAR DOMINGOS DA SILVA ANJOS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Height="1" spans="1:26">
      <c r="A188" s="3"/>
      <c r="B188" s="11" t="str">
        <f>IFERROR(__xludf.dummyfunction("""COMPUTED_VALUE"""),"REGIONAL 5")</f>
        <v>REGIONAL 5</v>
      </c>
      <c r="C188" s="11" t="str">
        <f>IFERROR(__xludf.dummyfunction("""COMPUTED_VALUE"""),"29/01/2026 13:04:58")</f>
        <v>29/01/2026 13:04:58</v>
      </c>
      <c r="D188" s="11" t="str">
        <f>IFERROR(__xludf.dummyfunction("""COMPUTED_VALUE"""),"10")</f>
        <v>10</v>
      </c>
      <c r="E188" s="11" t="str">
        <f>IFERROR(__xludf.dummyfunction("""COMPUTED_VALUE"""),"G. A. G. D. S")</f>
        <v>G. A. G. D. S</v>
      </c>
      <c r="F188" s="11" t="str">
        <f>IFERROR(__xludf.dummyfunction("""COMPUTED_VALUE"""),"19/02/2023")</f>
        <v>19/02/2023</v>
      </c>
      <c r="G188" s="11" t="str">
        <f>IFERROR(__xludf.dummyfunction("""COMPUTED_VALUE"""),"184******99")</f>
        <v>184******99</v>
      </c>
      <c r="H188" s="11" t="str">
        <f>IFERROR(__xludf.dummyfunction("""COMPUTED_VALUE"""),"INFANTIL 3")</f>
        <v>INFANTIL 3</v>
      </c>
      <c r="I188" s="12" t="str">
        <f>IFERROR(__xludf.dummyfunction("""COMPUTED_VALUE"""),"CEMEI PROFESSORA LINDOMAR DOMINGOS DA SILVA ANJOS")</f>
        <v>CEMEI PROFESSORA LINDOMAR DOMINGOS DA SILVA ANJOS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Height="1" spans="1:26">
      <c r="A189" s="3"/>
      <c r="B189" s="11" t="str">
        <f>IFERROR(__xludf.dummyfunction("""COMPUTED_VALUE"""),"REGIONAL 5")</f>
        <v>REGIONAL 5</v>
      </c>
      <c r="C189" s="11" t="str">
        <f>IFERROR(__xludf.dummyfunction("""COMPUTED_VALUE"""),"29/01/2026 14:26:01")</f>
        <v>29/01/2026 14:26:01</v>
      </c>
      <c r="D189" s="11" t="str">
        <f>IFERROR(__xludf.dummyfunction("""COMPUTED_VALUE"""),"11")</f>
        <v>11</v>
      </c>
      <c r="E189" s="11" t="str">
        <f>IFERROR(__xludf.dummyfunction("""COMPUTED_VALUE"""),"I. M. C. G")</f>
        <v>I. M. C. G</v>
      </c>
      <c r="F189" s="11" t="str">
        <f>IFERROR(__xludf.dummyfunction("""COMPUTED_VALUE"""),"18/02/2023")</f>
        <v>18/02/2023</v>
      </c>
      <c r="G189" s="11" t="str">
        <f>IFERROR(__xludf.dummyfunction("""COMPUTED_VALUE"""),"185******45")</f>
        <v>185******45</v>
      </c>
      <c r="H189" s="11" t="str">
        <f>IFERROR(__xludf.dummyfunction("""COMPUTED_VALUE"""),"INFANTIL 3")</f>
        <v>INFANTIL 3</v>
      </c>
      <c r="I189" s="12" t="str">
        <f>IFERROR(__xludf.dummyfunction("""COMPUTED_VALUE"""),"CEMEI PROFESSORA LINDOMAR DOMINGOS DA SILVA ANJOS")</f>
        <v>CEMEI PROFESSORA LINDOMAR DOMINGOS DA SILVA ANJOS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Height="1" spans="1:26">
      <c r="A190" s="3"/>
      <c r="B190" s="11" t="str">
        <f>IFERROR(__xludf.dummyfunction("""COMPUTED_VALUE"""),"REGIONAL 5")</f>
        <v>REGIONAL 5</v>
      </c>
      <c r="C190" s="11" t="str">
        <f>IFERROR(__xludf.dummyfunction("""COMPUTED_VALUE"""),"01/02/2026 17:23:13")</f>
        <v>01/02/2026 17:23:13</v>
      </c>
      <c r="D190" s="11" t="str">
        <f>IFERROR(__xludf.dummyfunction("""COMPUTED_VALUE"""),"12")</f>
        <v>12</v>
      </c>
      <c r="E190" s="11" t="str">
        <f>IFERROR(__xludf.dummyfunction("""COMPUTED_VALUE"""),"T. H. G. D. S")</f>
        <v>T. H. G. D. S</v>
      </c>
      <c r="F190" s="11" t="str">
        <f>IFERROR(__xludf.dummyfunction("""COMPUTED_VALUE"""),"18/07/2022")</f>
        <v>18/07/2022</v>
      </c>
      <c r="G190" s="11" t="str">
        <f>IFERROR(__xludf.dummyfunction("""COMPUTED_VALUE"""),"182******13")</f>
        <v>182******13</v>
      </c>
      <c r="H190" s="11" t="str">
        <f>IFERROR(__xludf.dummyfunction("""COMPUTED_VALUE"""),"INFANTIL 3")</f>
        <v>INFANTIL 3</v>
      </c>
      <c r="I190" s="12" t="str">
        <f>IFERROR(__xludf.dummyfunction("""COMPUTED_VALUE"""),"CEMEI PROFESSORA LINDOMAR DOMINGOS DA SILVA ANJOS")</f>
        <v>CEMEI PROFESSORA LINDOMAR DOMINGOS DA SILVA ANJOS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Height="1" spans="1:26">
      <c r="A191" s="3"/>
      <c r="B191" s="11" t="str">
        <f>IFERROR(__xludf.dummyfunction("""COMPUTED_VALUE"""),"REGIONAL 5")</f>
        <v>REGIONAL 5</v>
      </c>
      <c r="C191" s="11" t="str">
        <f>IFERROR(__xludf.dummyfunction("""COMPUTED_VALUE"""),"02/02/2026 08:52:36")</f>
        <v>02/02/2026 08:52:36</v>
      </c>
      <c r="D191" s="11" t="str">
        <f>IFERROR(__xludf.dummyfunction("""COMPUTED_VALUE"""),"13")</f>
        <v>13</v>
      </c>
      <c r="E191" s="11" t="str">
        <f>IFERROR(__xludf.dummyfunction("""COMPUTED_VALUE"""),"N. S. N")</f>
        <v>N. S. N</v>
      </c>
      <c r="F191" s="11" t="str">
        <f>IFERROR(__xludf.dummyfunction("""COMPUTED_VALUE"""),"20/09/2022")</f>
        <v>20/09/2022</v>
      </c>
      <c r="G191" s="11" t="str">
        <f>IFERROR(__xludf.dummyfunction("""COMPUTED_VALUE"""),"231******48")</f>
        <v>231******48</v>
      </c>
      <c r="H191" s="11" t="str">
        <f>IFERROR(__xludf.dummyfunction("""COMPUTED_VALUE"""),"INFANTIL 3")</f>
        <v>INFANTIL 3</v>
      </c>
      <c r="I191" s="12" t="str">
        <f>IFERROR(__xludf.dummyfunction("""COMPUTED_VALUE"""),"CEMEI PROFESSORA LINDOMAR DOMINGOS DA SILVA ANJOS")</f>
        <v>CEMEI PROFESSORA LINDOMAR DOMINGOS DA SILVA ANJOS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Height="1" spans="1:26">
      <c r="A192" s="3"/>
      <c r="B192" s="11" t="str">
        <f>IFERROR(__xludf.dummyfunction("""COMPUTED_VALUE"""),"REGIONAL 5")</f>
        <v>REGIONAL 5</v>
      </c>
      <c r="C192" s="11" t="str">
        <f>IFERROR(__xludf.dummyfunction("""COMPUTED_VALUE"""),"04/02/2026 14:48:24")</f>
        <v>04/02/2026 14:48:24</v>
      </c>
      <c r="D192" s="11" t="str">
        <f>IFERROR(__xludf.dummyfunction("""COMPUTED_VALUE"""),"14")</f>
        <v>14</v>
      </c>
      <c r="E192" s="11" t="str">
        <f>IFERROR(__xludf.dummyfunction("""COMPUTED_VALUE"""),"R. L. A. D. S")</f>
        <v>R. L. A. D. S</v>
      </c>
      <c r="F192" s="11" t="str">
        <f>IFERROR(__xludf.dummyfunction("""COMPUTED_VALUE"""),"06/03/2023")</f>
        <v>06/03/2023</v>
      </c>
      <c r="G192" s="11" t="str">
        <f>IFERROR(__xludf.dummyfunction("""COMPUTED_VALUE"""),"184******04")</f>
        <v>184******04</v>
      </c>
      <c r="H192" s="11" t="str">
        <f>IFERROR(__xludf.dummyfunction("""COMPUTED_VALUE"""),"INFANTIL 3")</f>
        <v>INFANTIL 3</v>
      </c>
      <c r="I192" s="12" t="str">
        <f>IFERROR(__xludf.dummyfunction("""COMPUTED_VALUE"""),"CEMEI PROFESSORA LINDOMAR DOMINGOS DA SILVA ANJOS")</f>
        <v>CEMEI PROFESSORA LINDOMAR DOMINGOS DA SILVA ANJOS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Height="1" spans="1:26">
      <c r="A193" s="3"/>
      <c r="B193" s="11" t="str">
        <f>IFERROR(__xludf.dummyfunction("""COMPUTED_VALUE"""),"REGIONAL 5")</f>
        <v>REGIONAL 5</v>
      </c>
      <c r="C193" s="11" t="str">
        <f>IFERROR(__xludf.dummyfunction("""COMPUTED_VALUE"""),"05/02/2026 15:38:25")</f>
        <v>05/02/2026 15:38:25</v>
      </c>
      <c r="D193" s="11" t="str">
        <f>IFERROR(__xludf.dummyfunction("""COMPUTED_VALUE"""),"15")</f>
        <v>15</v>
      </c>
      <c r="E193" s="11" t="str">
        <f>IFERROR(__xludf.dummyfunction("""COMPUTED_VALUE"""),"A. L. M. S. D. S")</f>
        <v>A. L. M. S. D. S</v>
      </c>
      <c r="F193" s="11" t="str">
        <f>IFERROR(__xludf.dummyfunction("""COMPUTED_VALUE"""),"13/06/2022")</f>
        <v>13/06/2022</v>
      </c>
      <c r="G193" s="11" t="str">
        <f>IFERROR(__xludf.dummyfunction("""COMPUTED_VALUE"""),"181******47")</f>
        <v>181******47</v>
      </c>
      <c r="H193" s="11" t="str">
        <f>IFERROR(__xludf.dummyfunction("""COMPUTED_VALUE"""),"INFANTIL 3")</f>
        <v>INFANTIL 3</v>
      </c>
      <c r="I193" s="12" t="str">
        <f>IFERROR(__xludf.dummyfunction("""COMPUTED_VALUE"""),"CEMEI PROFESSORA LINDOMAR DOMINGOS DA SILVA ANJOS")</f>
        <v>CEMEI PROFESSORA LINDOMAR DOMINGOS DA SILVA ANJOS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Height="1" spans="1:26">
      <c r="A194" s="3"/>
      <c r="B194" s="11" t="str">
        <f>IFERROR(__xludf.dummyfunction("""COMPUTED_VALUE"""),"REGIONAL 5")</f>
        <v>REGIONAL 5</v>
      </c>
      <c r="C194" s="11" t="str">
        <f>IFERROR(__xludf.dummyfunction("""COMPUTED_VALUE"""),"06/02/2026 15:36:56")</f>
        <v>06/02/2026 15:36:56</v>
      </c>
      <c r="D194" s="11" t="str">
        <f>IFERROR(__xludf.dummyfunction("""COMPUTED_VALUE"""),"16")</f>
        <v>16</v>
      </c>
      <c r="E194" s="11" t="str">
        <f>IFERROR(__xludf.dummyfunction("""COMPUTED_VALUE"""),"M. B. D. S")</f>
        <v>M. B. D. S</v>
      </c>
      <c r="F194" s="11" t="str">
        <f>IFERROR(__xludf.dummyfunction("""COMPUTED_VALUE"""),"13/11/2022")</f>
        <v>13/11/2022</v>
      </c>
      <c r="G194" s="11" t="str">
        <f>IFERROR(__xludf.dummyfunction("""COMPUTED_VALUE"""),"183******21")</f>
        <v>183******21</v>
      </c>
      <c r="H194" s="11" t="str">
        <f>IFERROR(__xludf.dummyfunction("""COMPUTED_VALUE"""),"INFANTIL 3")</f>
        <v>INFANTIL 3</v>
      </c>
      <c r="I194" s="12" t="str">
        <f>IFERROR(__xludf.dummyfunction("""COMPUTED_VALUE"""),"CEMEI PROFESSORA LINDOMAR DOMINGOS DA SILVA ANJOS")</f>
        <v>CEMEI PROFESSORA LINDOMAR DOMINGOS DA SILVA ANJOS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Height="1" spans="1:26">
      <c r="A195" s="3"/>
      <c r="B195" s="11" t="str">
        <f>IFERROR(__xludf.dummyfunction("""COMPUTED_VALUE"""),"REGIONAL 5")</f>
        <v>REGIONAL 5</v>
      </c>
      <c r="C195" s="11" t="str">
        <f>IFERROR(__xludf.dummyfunction("""COMPUTED_VALUE"""),"10/02/2026 09:04:52")</f>
        <v>10/02/2026 09:04:52</v>
      </c>
      <c r="D195" s="11" t="str">
        <f>IFERROR(__xludf.dummyfunction("""COMPUTED_VALUE"""),"17")</f>
        <v>17</v>
      </c>
      <c r="E195" s="11" t="str">
        <f>IFERROR(__xludf.dummyfunction("""COMPUTED_VALUE"""),"A. C. M. S. D. S")</f>
        <v>A. C. M. S. D. S</v>
      </c>
      <c r="F195" s="11" t="str">
        <f>IFERROR(__xludf.dummyfunction("""COMPUTED_VALUE"""),"13/06/2022")</f>
        <v>13/06/2022</v>
      </c>
      <c r="G195" s="11" t="str">
        <f>IFERROR(__xludf.dummyfunction("""COMPUTED_VALUE"""),"181******43")</f>
        <v>181******43</v>
      </c>
      <c r="H195" s="11" t="str">
        <f>IFERROR(__xludf.dummyfunction("""COMPUTED_VALUE"""),"INFANTIL 3")</f>
        <v>INFANTIL 3</v>
      </c>
      <c r="I195" s="12" t="str">
        <f>IFERROR(__xludf.dummyfunction("""COMPUTED_VALUE"""),"CEMEI PROFESSORA LINDOMAR DOMINGOS DA SILVA ANJOS")</f>
        <v>CEMEI PROFESSORA LINDOMAR DOMINGOS DA SILVA ANJOS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Height="1" spans="1:26">
      <c r="A196" s="3"/>
      <c r="B196" s="11" t="str">
        <f>IFERROR(__xludf.dummyfunction("""COMPUTED_VALUE"""),"REGIONAL 5")</f>
        <v>REGIONAL 5</v>
      </c>
      <c r="C196" s="11" t="str">
        <f>IFERROR(__xludf.dummyfunction("""COMPUTED_VALUE"""),"10/02/2026 10:01:04")</f>
        <v>10/02/2026 10:01:04</v>
      </c>
      <c r="D196" s="11" t="str">
        <f>IFERROR(__xludf.dummyfunction("""COMPUTED_VALUE"""),"18")</f>
        <v>18</v>
      </c>
      <c r="E196" s="11" t="str">
        <f>IFERROR(__xludf.dummyfunction("""COMPUTED_VALUE"""),"R. V. D. S. M")</f>
        <v>R. V. D. S. M</v>
      </c>
      <c r="F196" s="11" t="str">
        <f>IFERROR(__xludf.dummyfunction("""COMPUTED_VALUE"""),"22/08/2022")</f>
        <v>22/08/2022</v>
      </c>
      <c r="G196" s="11" t="str">
        <f>IFERROR(__xludf.dummyfunction("""COMPUTED_VALUE"""),"182******47")</f>
        <v>182******47</v>
      </c>
      <c r="H196" s="11" t="str">
        <f>IFERROR(__xludf.dummyfunction("""COMPUTED_VALUE"""),"INFANTIL 3")</f>
        <v>INFANTIL 3</v>
      </c>
      <c r="I196" s="12" t="str">
        <f>IFERROR(__xludf.dummyfunction("""COMPUTED_VALUE"""),"CEMEI PROFESSORA LINDOMAR DOMINGOS DA SILVA ANJOS")</f>
        <v>CEMEI PROFESSORA LINDOMAR DOMINGOS DA SILVA ANJOS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Height="1" spans="1:26">
      <c r="A197" s="3"/>
      <c r="B197" s="11" t="str">
        <f>IFERROR(__xludf.dummyfunction("""COMPUTED_VALUE"""),"REGIONAL 5")</f>
        <v>REGIONAL 5</v>
      </c>
      <c r="C197" s="11" t="str">
        <f>IFERROR(__xludf.dummyfunction("""COMPUTED_VALUE"""),"19/02/2026 09:51:04")</f>
        <v>19/02/2026 09:51:04</v>
      </c>
      <c r="D197" s="11" t="str">
        <f>IFERROR(__xludf.dummyfunction("""COMPUTED_VALUE"""),"19")</f>
        <v>19</v>
      </c>
      <c r="E197" s="11" t="str">
        <f>IFERROR(__xludf.dummyfunction("""COMPUTED_VALUE"""),"A. L. B. S")</f>
        <v>A. L. B. S</v>
      </c>
      <c r="F197" s="11" t="str">
        <f>IFERROR(__xludf.dummyfunction("""COMPUTED_VALUE"""),"28/08/2022")</f>
        <v>28/08/2022</v>
      </c>
      <c r="G197" s="11" t="str">
        <f>IFERROR(__xludf.dummyfunction("""COMPUTED_VALUE"""),"183******41")</f>
        <v>183******41</v>
      </c>
      <c r="H197" s="11" t="str">
        <f>IFERROR(__xludf.dummyfunction("""COMPUTED_VALUE"""),"INFANTIL 3")</f>
        <v>INFANTIL 3</v>
      </c>
      <c r="I197" s="12" t="str">
        <f>IFERROR(__xludf.dummyfunction("""COMPUTED_VALUE"""),"CEMEI PROFESSORA LINDOMAR DOMINGOS DA SILVA ANJOS")</f>
        <v>CEMEI PROFESSORA LINDOMAR DOMINGOS DA SILVA ANJOS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Height="1" spans="1:26">
      <c r="A198" s="3"/>
      <c r="B198" s="11" t="str">
        <f>IFERROR(__xludf.dummyfunction("""COMPUTED_VALUE"""),"REGIONAL 5")</f>
        <v>REGIONAL 5</v>
      </c>
      <c r="C198" s="11" t="str">
        <f>IFERROR(__xludf.dummyfunction("""COMPUTED_VALUE"""),"19/02/2026 16:10:29")</f>
        <v>19/02/2026 16:10:29</v>
      </c>
      <c r="D198" s="11" t="str">
        <f>IFERROR(__xludf.dummyfunction("""COMPUTED_VALUE"""),"20")</f>
        <v>20</v>
      </c>
      <c r="E198" s="11" t="str">
        <f>IFERROR(__xludf.dummyfunction("""COMPUTED_VALUE"""),"L. F. L")</f>
        <v>L. F. L</v>
      </c>
      <c r="F198" s="11" t="str">
        <f>IFERROR(__xludf.dummyfunction("""COMPUTED_VALUE"""),"19/07/2022")</f>
        <v>19/07/2022</v>
      </c>
      <c r="G198" s="11" t="str">
        <f>IFERROR(__xludf.dummyfunction("""COMPUTED_VALUE"""),"182******54")</f>
        <v>182******54</v>
      </c>
      <c r="H198" s="11" t="str">
        <f>IFERROR(__xludf.dummyfunction("""COMPUTED_VALUE"""),"INFANTIL 3")</f>
        <v>INFANTIL 3</v>
      </c>
      <c r="I198" s="12" t="str">
        <f>IFERROR(__xludf.dummyfunction("""COMPUTED_VALUE"""),"CEMEI PROFESSORA LINDOMAR DOMINGOS DA SILVA ANJOS")</f>
        <v>CEMEI PROFESSORA LINDOMAR DOMINGOS DA SILVA ANJOS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Height="1" spans="1:26">
      <c r="A199" s="3"/>
      <c r="B199" s="11" t="str">
        <f>IFERROR(__xludf.dummyfunction("""COMPUTED_VALUE"""),"REGIONAL 5")</f>
        <v>REGIONAL 5</v>
      </c>
      <c r="C199" s="11" t="str">
        <f>IFERROR(__xludf.dummyfunction("""COMPUTED_VALUE"""),"03/03/2026 13:51:57")</f>
        <v>03/03/2026 13:51:57</v>
      </c>
      <c r="D199" s="11" t="str">
        <f>IFERROR(__xludf.dummyfunction("""COMPUTED_VALUE"""),"21")</f>
        <v>21</v>
      </c>
      <c r="E199" s="11" t="str">
        <f>IFERROR(__xludf.dummyfunction("""COMPUTED_VALUE"""),"T. R. D. D. M")</f>
        <v>T. R. D. D. M</v>
      </c>
      <c r="F199" s="11" t="str">
        <f>IFERROR(__xludf.dummyfunction("""COMPUTED_VALUE"""),"15/03/2023")</f>
        <v>15/03/2023</v>
      </c>
      <c r="G199" s="11" t="str">
        <f>IFERROR(__xludf.dummyfunction("""COMPUTED_VALUE"""),"184******07")</f>
        <v>184******07</v>
      </c>
      <c r="H199" s="11" t="str">
        <f>IFERROR(__xludf.dummyfunction("""COMPUTED_VALUE"""),"INFANTIL 3")</f>
        <v>INFANTIL 3</v>
      </c>
      <c r="I199" s="12" t="str">
        <f>IFERROR(__xludf.dummyfunction("""COMPUTED_VALUE"""),"CEMEI PROFESSORA LINDOMAR DOMINGOS DA SILVA ANJOS")</f>
        <v>CEMEI PROFESSORA LINDOMAR DOMINGOS DA SILVA ANJOS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Height="1" spans="1:26">
      <c r="A200" s="3"/>
      <c r="B200" s="11" t="str">
        <f>IFERROR(__xludf.dummyfunction("""COMPUTED_VALUE"""),"REGIONAL 5")</f>
        <v>REGIONAL 5</v>
      </c>
      <c r="C200" s="11" t="str">
        <f>IFERROR(__xludf.dummyfunction("""COMPUTED_VALUE"""),"24/03/2026 15:33:58")</f>
        <v>24/03/2026 15:33:58</v>
      </c>
      <c r="D200" s="11" t="str">
        <f>IFERROR(__xludf.dummyfunction("""COMPUTED_VALUE"""),"22")</f>
        <v>22</v>
      </c>
      <c r="E200" s="11" t="str">
        <f>IFERROR(__xludf.dummyfunction("""COMPUTED_VALUE"""),"A. V. C. D. S")</f>
        <v>A. V. C. D. S</v>
      </c>
      <c r="F200" s="11" t="str">
        <f>IFERROR(__xludf.dummyfunction("""COMPUTED_VALUE"""),"06/10/2022")</f>
        <v>06/10/2022</v>
      </c>
      <c r="G200" s="11" t="str">
        <f>IFERROR(__xludf.dummyfunction("""COMPUTED_VALUE"""),"093******73")</f>
        <v>093******73</v>
      </c>
      <c r="H200" s="11" t="str">
        <f>IFERROR(__xludf.dummyfunction("""COMPUTED_VALUE"""),"INFANTIL 3")</f>
        <v>INFANTIL 3</v>
      </c>
      <c r="I200" s="12" t="str">
        <f>IFERROR(__xludf.dummyfunction("""COMPUTED_VALUE"""),"CEMEI PROFESSORA LINDOMAR DOMINGOS DA SILVA ANJOS")</f>
        <v>CEMEI PROFESSORA LINDOMAR DOMINGOS DA SILVA ANJOS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Height="1" spans="1:26">
      <c r="A201" s="3"/>
      <c r="B201" s="11" t="str">
        <f>IFERROR(__xludf.dummyfunction("""COMPUTED_VALUE"""),"REGIONAL 5")</f>
        <v>REGIONAL 5</v>
      </c>
      <c r="C201" s="11" t="str">
        <f>IFERROR(__xludf.dummyfunction("""COMPUTED_VALUE"""),"09/04/2026 12:42:59")</f>
        <v>09/04/2026 12:42:59</v>
      </c>
      <c r="D201" s="11" t="str">
        <f>IFERROR(__xludf.dummyfunction("""COMPUTED_VALUE"""),"23")</f>
        <v>23</v>
      </c>
      <c r="E201" s="11" t="str">
        <f>IFERROR(__xludf.dummyfunction("""COMPUTED_VALUE"""),"T. E. D. S")</f>
        <v>T. E. D. S</v>
      </c>
      <c r="F201" s="11" t="str">
        <f>IFERROR(__xludf.dummyfunction("""COMPUTED_VALUE"""),"28/09/2022")</f>
        <v>28/09/2022</v>
      </c>
      <c r="G201" s="11" t="str">
        <f>IFERROR(__xludf.dummyfunction("""COMPUTED_VALUE"""),"183******73")</f>
        <v>183******73</v>
      </c>
      <c r="H201" s="11" t="str">
        <f>IFERROR(__xludf.dummyfunction("""COMPUTED_VALUE"""),"INFANTIL 3")</f>
        <v>INFANTIL 3</v>
      </c>
      <c r="I201" s="12" t="str">
        <f>IFERROR(__xludf.dummyfunction("""COMPUTED_VALUE"""),"CEMEI PROFESSORA LINDOMAR DOMINGOS DA SILVA ANJOS")</f>
        <v>CEMEI PROFESSORA LINDOMAR DOMINGOS DA SILVA ANJOS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Height="1" spans="1:26">
      <c r="A202" s="3"/>
      <c r="B202" s="11" t="str">
        <f>IFERROR(__xludf.dummyfunction("""COMPUTED_VALUE"""),"REGIONAL 5")</f>
        <v>REGIONAL 5</v>
      </c>
      <c r="C202" s="11" t="str">
        <f>IFERROR(__xludf.dummyfunction("""COMPUTED_VALUE"""),"15/04/2026 12:12:34")</f>
        <v>15/04/2026 12:12:34</v>
      </c>
      <c r="D202" s="11" t="str">
        <f>IFERROR(__xludf.dummyfunction("""COMPUTED_VALUE"""),"24")</f>
        <v>24</v>
      </c>
      <c r="E202" s="11" t="str">
        <f>IFERROR(__xludf.dummyfunction("""COMPUTED_VALUE"""),"L. M. M. D. C")</f>
        <v>L. M. M. D. C</v>
      </c>
      <c r="F202" s="11" t="str">
        <f>IFERROR(__xludf.dummyfunction("""COMPUTED_VALUE"""),"15/05/2022")</f>
        <v>15/05/2022</v>
      </c>
      <c r="G202" s="11" t="str">
        <f>IFERROR(__xludf.dummyfunction("""COMPUTED_VALUE"""),"181******39")</f>
        <v>181******39</v>
      </c>
      <c r="H202" s="11" t="str">
        <f>IFERROR(__xludf.dummyfunction("""COMPUTED_VALUE"""),"INFANTIL 3")</f>
        <v>INFANTIL 3</v>
      </c>
      <c r="I202" s="12" t="str">
        <f>IFERROR(__xludf.dummyfunction("""COMPUTED_VALUE"""),"CEMEI PROFESSORA LINDOMAR DOMINGOS DA SILVA ANJOS")</f>
        <v>CEMEI PROFESSORA LINDOMAR DOMINGOS DA SILVA ANJOS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Height="1" spans="1:26">
      <c r="A203" s="3"/>
      <c r="B203" s="11" t="str">
        <f>IFERROR(__xludf.dummyfunction("""COMPUTED_VALUE"""),"REGIONAL 5")</f>
        <v>REGIONAL 5</v>
      </c>
      <c r="C203" s="11" t="str">
        <f>IFERROR(__xludf.dummyfunction("""COMPUTED_VALUE"""),"15/04/2026 20:08:01")</f>
        <v>15/04/2026 20:08:01</v>
      </c>
      <c r="D203" s="11" t="str">
        <f>IFERROR(__xludf.dummyfunction("""COMPUTED_VALUE"""),"25")</f>
        <v>25</v>
      </c>
      <c r="E203" s="11" t="str">
        <f>IFERROR(__xludf.dummyfunction("""COMPUTED_VALUE"""),"M. L. V. D. S")</f>
        <v>M. L. V. D. S</v>
      </c>
      <c r="F203" s="11" t="str">
        <f>IFERROR(__xludf.dummyfunction("""COMPUTED_VALUE"""),"06/03/2023")</f>
        <v>06/03/2023</v>
      </c>
      <c r="G203" s="11" t="str">
        <f>IFERROR(__xludf.dummyfunction("""COMPUTED_VALUE"""),"184******09")</f>
        <v>184******09</v>
      </c>
      <c r="H203" s="11" t="str">
        <f>IFERROR(__xludf.dummyfunction("""COMPUTED_VALUE"""),"INFANTIL 3")</f>
        <v>INFANTIL 3</v>
      </c>
      <c r="I203" s="12" t="str">
        <f>IFERROR(__xludf.dummyfunction("""COMPUTED_VALUE"""),"CEMEI PROFESSORA LINDOMAR DOMINGOS DA SILVA ANJOS")</f>
        <v>CEMEI PROFESSORA LINDOMAR DOMINGOS DA SILVA ANJOS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Height="1" spans="1:26">
      <c r="A204" s="3"/>
      <c r="B204" s="11" t="str">
        <f>IFERROR(__xludf.dummyfunction("""COMPUTED_VALUE"""),"REGIONAL 5")</f>
        <v>REGIONAL 5</v>
      </c>
      <c r="C204" s="11" t="str">
        <f>IFERROR(__xludf.dummyfunction("""COMPUTED_VALUE"""),"24/04/2026 15:30:49")</f>
        <v>24/04/2026 15:30:49</v>
      </c>
      <c r="D204" s="11" t="str">
        <f>IFERROR(__xludf.dummyfunction("""COMPUTED_VALUE"""),"26")</f>
        <v>26</v>
      </c>
      <c r="E204" s="11" t="str">
        <f>IFERROR(__xludf.dummyfunction("""COMPUTED_VALUE"""),"L. G. D. S. M")</f>
        <v>L. G. D. S. M</v>
      </c>
      <c r="F204" s="11" t="str">
        <f>IFERROR(__xludf.dummyfunction("""COMPUTED_VALUE"""),"27/07/2022")</f>
        <v>27/07/2022</v>
      </c>
      <c r="G204" s="11" t="str">
        <f>IFERROR(__xludf.dummyfunction("""COMPUTED_VALUE"""),"182******80")</f>
        <v>182******80</v>
      </c>
      <c r="H204" s="11" t="str">
        <f>IFERROR(__xludf.dummyfunction("""COMPUTED_VALUE"""),"INFANTIL 3")</f>
        <v>INFANTIL 3</v>
      </c>
      <c r="I204" s="12" t="str">
        <f>IFERROR(__xludf.dummyfunction("""COMPUTED_VALUE"""),"CEMEI PROFESSORA LINDOMAR DOMINGOS DA SILVA ANJOS")</f>
        <v>CEMEI PROFESSORA LINDOMAR DOMINGOS DA SILVA ANJOS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Height="1" spans="1:26">
      <c r="A205" s="3"/>
      <c r="B205" s="11" t="str">
        <f>IFERROR(__xludf.dummyfunction("""COMPUTED_VALUE"""),"REGIONAL 5")</f>
        <v>REGIONAL 5</v>
      </c>
      <c r="C205" s="11" t="str">
        <f>IFERROR(__xludf.dummyfunction("""COMPUTED_VALUE"""),"13/05/2026 09:51:31")</f>
        <v>13/05/2026 09:51:31</v>
      </c>
      <c r="D205" s="11" t="str">
        <f>IFERROR(__xludf.dummyfunction("""COMPUTED_VALUE"""),"27")</f>
        <v>27</v>
      </c>
      <c r="E205" s="11" t="str">
        <f>IFERROR(__xludf.dummyfunction("""COMPUTED_VALUE"""),"A. T. M. D. N")</f>
        <v>A. T. M. D. N</v>
      </c>
      <c r="F205" s="11" t="str">
        <f>IFERROR(__xludf.dummyfunction("""COMPUTED_VALUE"""),"23/02/2023")</f>
        <v>23/02/2023</v>
      </c>
      <c r="G205" s="11" t="str">
        <f>IFERROR(__xludf.dummyfunction("""COMPUTED_VALUE"""),"608******29")</f>
        <v>608******29</v>
      </c>
      <c r="H205" s="11" t="str">
        <f>IFERROR(__xludf.dummyfunction("""COMPUTED_VALUE"""),"INFANTIL 3")</f>
        <v>INFANTIL 3</v>
      </c>
      <c r="I205" s="12" t="str">
        <f>IFERROR(__xludf.dummyfunction("""COMPUTED_VALUE"""),"CEMEI PROFESSORA LINDOMAR DOMINGOS DA SILVA ANJOS")</f>
        <v>CEMEI PROFESSORA LINDOMAR DOMINGOS DA SILVA ANJOS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Height="1" spans="1:26">
      <c r="A206" s="3"/>
      <c r="B206" s="11" t="str">
        <f>IFERROR(__xludf.dummyfunction("""COMPUTED_VALUE"""),"REGIONAL 5")</f>
        <v>REGIONAL 5</v>
      </c>
      <c r="C206" s="11" t="str">
        <f>IFERROR(__xludf.dummyfunction("""COMPUTED_VALUE"""),"23/05/2026 20:29:57")</f>
        <v>23/05/2026 20:29:57</v>
      </c>
      <c r="D206" s="11" t="str">
        <f>IFERROR(__xludf.dummyfunction("""COMPUTED_VALUE"""),"28")</f>
        <v>28</v>
      </c>
      <c r="E206" s="11" t="str">
        <f>IFERROR(__xludf.dummyfunction("""COMPUTED_VALUE"""),"H. M. A. T. M")</f>
        <v>H. M. A. T. M</v>
      </c>
      <c r="F206" s="11" t="str">
        <f>IFERROR(__xludf.dummyfunction("""COMPUTED_VALUE"""),"03/11/2022")</f>
        <v>03/11/2022</v>
      </c>
      <c r="G206" s="11" t="str">
        <f>IFERROR(__xludf.dummyfunction("""COMPUTED_VALUE"""),"183******40")</f>
        <v>183******40</v>
      </c>
      <c r="H206" s="11" t="str">
        <f>IFERROR(__xludf.dummyfunction("""COMPUTED_VALUE"""),"INFANTIL 3")</f>
        <v>INFANTIL 3</v>
      </c>
      <c r="I206" s="12" t="str">
        <f>IFERROR(__xludf.dummyfunction("""COMPUTED_VALUE"""),"CEMEI PROFESSORA LINDOMAR DOMINGOS DA SILVA ANJOS")</f>
        <v>CEMEI PROFESSORA LINDOMAR DOMINGOS DA SILVA ANJOS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Height="1" spans="1:26">
      <c r="A207" s="3"/>
      <c r="B207" s="11" t="str">
        <f>IFERROR(__xludf.dummyfunction("""COMPUTED_VALUE"""),"REGIONAL 5")</f>
        <v>REGIONAL 5</v>
      </c>
      <c r="C207" s="11" t="str">
        <f>IFERROR(__xludf.dummyfunction("""COMPUTED_VALUE"""),"01/06/2026 08:29:45")</f>
        <v>01/06/2026 08:29:45</v>
      </c>
      <c r="D207" s="11" t="str">
        <f>IFERROR(__xludf.dummyfunction("""COMPUTED_VALUE"""),"29")</f>
        <v>29</v>
      </c>
      <c r="E207" s="11" t="str">
        <f>IFERROR(__xludf.dummyfunction("""COMPUTED_VALUE"""),"B. D. D. A")</f>
        <v>B. D. D. A</v>
      </c>
      <c r="F207" s="11" t="str">
        <f>IFERROR(__xludf.dummyfunction("""COMPUTED_VALUE"""),"29/07/2022")</f>
        <v>29/07/2022</v>
      </c>
      <c r="G207" s="11" t="str">
        <f>IFERROR(__xludf.dummyfunction("""COMPUTED_VALUE"""),"182******60")</f>
        <v>182******60</v>
      </c>
      <c r="H207" s="11" t="str">
        <f>IFERROR(__xludf.dummyfunction("""COMPUTED_VALUE"""),"INFANTIL 3")</f>
        <v>INFANTIL 3</v>
      </c>
      <c r="I207" s="12" t="str">
        <f>IFERROR(__xludf.dummyfunction("""COMPUTED_VALUE"""),"CEMEI PROFESSORA LINDOMAR DOMINGOS DA SILVA ANJOS")</f>
        <v>CEMEI PROFESSORA LINDOMAR DOMINGOS DA SILVA ANJOS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Height="1" spans="1:26">
      <c r="A208" s="3"/>
      <c r="B208" s="11" t="str">
        <f>IFERROR(__xludf.dummyfunction("""COMPUTED_VALUE"""),"REGIONAL 5")</f>
        <v>REGIONAL 5</v>
      </c>
      <c r="C208" s="11" t="str">
        <f>IFERROR(__xludf.dummyfunction("""COMPUTED_VALUE"""),"08/06/2026 14:32:49")</f>
        <v>08/06/2026 14:32:49</v>
      </c>
      <c r="D208" s="11" t="str">
        <f>IFERROR(__xludf.dummyfunction("""COMPUTED_VALUE"""),"30")</f>
        <v>30</v>
      </c>
      <c r="E208" s="11" t="str">
        <f>IFERROR(__xludf.dummyfunction("""COMPUTED_VALUE"""),"E. T. S. d. M")</f>
        <v>E. T. S. d. M</v>
      </c>
      <c r="F208" s="11" t="str">
        <f>IFERROR(__xludf.dummyfunction("""COMPUTED_VALUE"""),"17/05/2022")</f>
        <v>17/05/2022</v>
      </c>
      <c r="G208" s="11" t="str">
        <f>IFERROR(__xludf.dummyfunction("""COMPUTED_VALUE"""),"181******02")</f>
        <v>181******02</v>
      </c>
      <c r="H208" s="11" t="str">
        <f>IFERROR(__xludf.dummyfunction("""COMPUTED_VALUE"""),"INFANTIL 3")</f>
        <v>INFANTIL 3</v>
      </c>
      <c r="I208" s="12" t="str">
        <f>IFERROR(__xludf.dummyfunction("""COMPUTED_VALUE"""),"CEMEI PROFESSORA LINDOMAR DOMINGOS DA SILVA ANJOS")</f>
        <v>CEMEI PROFESSORA LINDOMAR DOMINGOS DA SILVA ANJOS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Height="1" spans="1:26">
      <c r="A209" s="3"/>
      <c r="B209" s="11" t="str">
        <f>IFERROR(__xludf.dummyfunction("""COMPUTED_VALUE"""),"REGIONAL 5")</f>
        <v>REGIONAL 5</v>
      </c>
      <c r="C209" s="11" t="str">
        <f>IFERROR(__xludf.dummyfunction("""COMPUTED_VALUE"""),"11/06/2026 11:18:56")</f>
        <v>11/06/2026 11:18:56</v>
      </c>
      <c r="D209" s="11" t="str">
        <f>IFERROR(__xludf.dummyfunction("""COMPUTED_VALUE"""),"31")</f>
        <v>31</v>
      </c>
      <c r="E209" s="11" t="str">
        <f>IFERROR(__xludf.dummyfunction("""COMPUTED_VALUE"""),"A. C. D. S")</f>
        <v>A. C. D. S</v>
      </c>
      <c r="F209" s="11" t="str">
        <f>IFERROR(__xludf.dummyfunction("""COMPUTED_VALUE"""),"12/01/2023")</f>
        <v>12/01/2023</v>
      </c>
      <c r="G209" s="11" t="str">
        <f>IFERROR(__xludf.dummyfunction("""COMPUTED_VALUE"""),"184******32")</f>
        <v>184******32</v>
      </c>
      <c r="H209" s="11" t="str">
        <f>IFERROR(__xludf.dummyfunction("""COMPUTED_VALUE"""),"INFANTIL 3")</f>
        <v>INFANTIL 3</v>
      </c>
      <c r="I209" s="12" t="str">
        <f>IFERROR(__xludf.dummyfunction("""COMPUTED_VALUE"""),"CEMEI PROFESSORA LINDOMAR DOMINGOS DA SILVA ANJOS")</f>
        <v>CEMEI PROFESSORA LINDOMAR DOMINGOS DA SILVA ANJOS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Height="1" spans="1:26">
      <c r="A210" s="3"/>
      <c r="B210" s="11" t="str">
        <f>IFERROR(__xludf.dummyfunction("""COMPUTED_VALUE"""),"REGIONAL 5")</f>
        <v>REGIONAL 5</v>
      </c>
      <c r="C210" s="11" t="str">
        <f>IFERROR(__xludf.dummyfunction("""COMPUTED_VALUE"""),"08/07/2026 07:42:11")</f>
        <v>08/07/2026 07:42:11</v>
      </c>
      <c r="D210" s="11" t="str">
        <f>IFERROR(__xludf.dummyfunction("""COMPUTED_VALUE"""),"32")</f>
        <v>32</v>
      </c>
      <c r="E210" s="11" t="str">
        <f>IFERROR(__xludf.dummyfunction("""COMPUTED_VALUE"""),"R. R. S. d. N")</f>
        <v>R. R. S. d. N</v>
      </c>
      <c r="F210" s="11" t="str">
        <f>IFERROR(__xludf.dummyfunction("""COMPUTED_VALUE"""),"13/05/2022")</f>
        <v>13/05/2022</v>
      </c>
      <c r="G210" s="11" t="str">
        <f>IFERROR(__xludf.dummyfunction("""COMPUTED_VALUE"""),"181******46")</f>
        <v>181******46</v>
      </c>
      <c r="H210" s="11" t="str">
        <f>IFERROR(__xludf.dummyfunction("""COMPUTED_VALUE"""),"INFANTIL 3")</f>
        <v>INFANTIL 3</v>
      </c>
      <c r="I210" s="12" t="str">
        <f>IFERROR(__xludf.dummyfunction("""COMPUTED_VALUE"""),"CEMEI PROFESSORA LINDOMAR DOMINGOS DA SILVA ANJOS")</f>
        <v>CEMEI PROFESSORA LINDOMAR DOMINGOS DA SILVA ANJOS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Height="1" spans="1:26">
      <c r="A211" s="3"/>
      <c r="B211" s="11" t="str">
        <f>IFERROR(__xludf.dummyfunction("""COMPUTED_VALUE"""),"REGIONAL 5")</f>
        <v>REGIONAL 5</v>
      </c>
      <c r="C211" s="11" t="str">
        <f>IFERROR(__xludf.dummyfunction("""COMPUTED_VALUE"""),"18/07/2026 16:56:58")</f>
        <v>18/07/2026 16:56:58</v>
      </c>
      <c r="D211" s="11" t="str">
        <f>IFERROR(__xludf.dummyfunction("""COMPUTED_VALUE"""),"33")</f>
        <v>33</v>
      </c>
      <c r="E211" s="11" t="str">
        <f>IFERROR(__xludf.dummyfunction("""COMPUTED_VALUE"""),"s. h. g. d. s")</f>
        <v>s. h. g. d. s</v>
      </c>
      <c r="F211" s="11" t="str">
        <f>IFERROR(__xludf.dummyfunction("""COMPUTED_VALUE"""),"21/12/2022")</f>
        <v>21/12/2022</v>
      </c>
      <c r="G211" s="11" t="str">
        <f>IFERROR(__xludf.dummyfunction("""COMPUTED_VALUE"""),"126******46")</f>
        <v>126******46</v>
      </c>
      <c r="H211" s="11" t="str">
        <f>IFERROR(__xludf.dummyfunction("""COMPUTED_VALUE"""),"INFANTIL 3")</f>
        <v>INFANTIL 3</v>
      </c>
      <c r="I211" s="12" t="str">
        <f>IFERROR(__xludf.dummyfunction("""COMPUTED_VALUE"""),"CEMEI PROFESSORA LINDOMAR DOMINGOS DA SILVA ANJOS")</f>
        <v>CEMEI PROFESSORA LINDOMAR DOMINGOS DA SILVA ANJOS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Height="1" spans="1:26">
      <c r="A212" s="3"/>
      <c r="B212" s="11" t="str">
        <f>IFERROR(__xludf.dummyfunction("""COMPUTED_VALUE"""),"REGIONAL 5")</f>
        <v>REGIONAL 5</v>
      </c>
      <c r="C212" s="11" t="str">
        <f>IFERROR(__xludf.dummyfunction("""COMPUTED_VALUE"""),"04/08/2026 16:43:22")</f>
        <v>04/08/2026 16:43:22</v>
      </c>
      <c r="D212" s="11" t="str">
        <f>IFERROR(__xludf.dummyfunction("""COMPUTED_VALUE"""),"34")</f>
        <v>34</v>
      </c>
      <c r="E212" s="11" t="str">
        <f>IFERROR(__xludf.dummyfunction("""COMPUTED_VALUE"""),"B. L. S. D. A")</f>
        <v>B. L. S. D. A</v>
      </c>
      <c r="F212" s="11" t="str">
        <f>IFERROR(__xludf.dummyfunction("""COMPUTED_VALUE"""),"24/09/2022")</f>
        <v>24/09/2022</v>
      </c>
      <c r="G212" s="11" t="str">
        <f>IFERROR(__xludf.dummyfunction("""COMPUTED_VALUE"""),"182******70")</f>
        <v>182******70</v>
      </c>
      <c r="H212" s="11" t="str">
        <f>IFERROR(__xludf.dummyfunction("""COMPUTED_VALUE"""),"INFANTIL 3")</f>
        <v>INFANTIL 3</v>
      </c>
      <c r="I212" s="12" t="str">
        <f>IFERROR(__xludf.dummyfunction("""COMPUTED_VALUE"""),"CEMEI PROFESSORA LINDOMAR DOMINGOS DA SILVA ANJOS")</f>
        <v>CEMEI PROFESSORA LINDOMAR DOMINGOS DA SILVA ANJOS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Height="1" spans="1:26">
      <c r="A213" s="3"/>
      <c r="B213" s="11" t="str">
        <f>IFERROR(__xludf.dummyfunction("""COMPUTED_VALUE"""),"REGIONAL 5")</f>
        <v>REGIONAL 5</v>
      </c>
      <c r="C213" s="11" t="str">
        <f>IFERROR(__xludf.dummyfunction("""COMPUTED_VALUE"""),"26/08/2026 08:48:59")</f>
        <v>26/08/2026 08:48:59</v>
      </c>
      <c r="D213" s="11" t="str">
        <f>IFERROR(__xludf.dummyfunction("""COMPUTED_VALUE"""),"35")</f>
        <v>35</v>
      </c>
      <c r="E213" s="11" t="str">
        <f>IFERROR(__xludf.dummyfunction("""COMPUTED_VALUE"""),"L. O. D. S")</f>
        <v>L. O. D. S</v>
      </c>
      <c r="F213" s="11" t="str">
        <f>IFERROR(__xludf.dummyfunction("""COMPUTED_VALUE"""),"23/08/2022")</f>
        <v>23/08/2022</v>
      </c>
      <c r="G213" s="11" t="str">
        <f>IFERROR(__xludf.dummyfunction("""COMPUTED_VALUE"""),"183******08")</f>
        <v>183******08</v>
      </c>
      <c r="H213" s="11" t="str">
        <f>IFERROR(__xludf.dummyfunction("""COMPUTED_VALUE"""),"INFANTIL 3")</f>
        <v>INFANTIL 3</v>
      </c>
      <c r="I213" s="12" t="str">
        <f>IFERROR(__xludf.dummyfunction("""COMPUTED_VALUE"""),"CEMEI PROFESSORA LINDOMAR DOMINGOS DA SILVA ANJOS")</f>
        <v>CEMEI PROFESSORA LINDOMAR DOMINGOS DA SILVA ANJOS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Height="1" spans="1:26">
      <c r="A214" s="3"/>
      <c r="B214" s="11" t="str">
        <f>IFERROR(__xludf.dummyfunction("""COMPUTED_VALUE"""),"REGIONAL 5")</f>
        <v>REGIONAL 5</v>
      </c>
      <c r="C214" s="11" t="str">
        <f>IFERROR(__xludf.dummyfunction("""COMPUTED_VALUE"""),"28/08/2026 18:00:10")</f>
        <v>28/08/2026 18:00:10</v>
      </c>
      <c r="D214" s="11" t="str">
        <f>IFERROR(__xludf.dummyfunction("""COMPUTED_VALUE"""),"36")</f>
        <v>36</v>
      </c>
      <c r="E214" s="11" t="str">
        <f>IFERROR(__xludf.dummyfunction("""COMPUTED_VALUE"""),"M. C. F")</f>
        <v>M. C. F</v>
      </c>
      <c r="F214" s="11" t="str">
        <f>IFERROR(__xludf.dummyfunction("""COMPUTED_VALUE"""),"10/09/2022")</f>
        <v>10/09/2022</v>
      </c>
      <c r="G214" s="11" t="str">
        <f>IFERROR(__xludf.dummyfunction("""COMPUTED_VALUE"""),"182******82")</f>
        <v>182******82</v>
      </c>
      <c r="H214" s="11" t="str">
        <f>IFERROR(__xludf.dummyfunction("""COMPUTED_VALUE"""),"INFANTIL 3")</f>
        <v>INFANTIL 3</v>
      </c>
      <c r="I214" s="12" t="str">
        <f>IFERROR(__xludf.dummyfunction("""COMPUTED_VALUE"""),"CEMEI PROFESSORA LINDOMAR DOMINGOS DA SILVA ANJOS")</f>
        <v>CEMEI PROFESSORA LINDOMAR DOMINGOS DA SILVA ANJOS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Height="1" spans="1:26">
      <c r="A215" s="3"/>
      <c r="B215" s="11" t="str">
        <f>IFERROR(__xludf.dummyfunction("""COMPUTED_VALUE"""),"REGIONAL 5")</f>
        <v>REGIONAL 5</v>
      </c>
      <c r="C215" s="11" t="str">
        <f>IFERROR(__xludf.dummyfunction("""COMPUTED_VALUE"""),"09/09/2026 20:23:18")</f>
        <v>09/09/2026 20:23:18</v>
      </c>
      <c r="D215" s="11" t="str">
        <f>IFERROR(__xludf.dummyfunction("""COMPUTED_VALUE"""),"37")</f>
        <v>37</v>
      </c>
      <c r="E215" s="11" t="str">
        <f>IFERROR(__xludf.dummyfunction("""COMPUTED_VALUE"""),"Z. V. C. d. s")</f>
        <v>Z. V. C. d. s</v>
      </c>
      <c r="F215" s="11" t="str">
        <f>IFERROR(__xludf.dummyfunction("""COMPUTED_VALUE"""),"19/10/2022")</f>
        <v>19/10/2022</v>
      </c>
      <c r="G215" s="11" t="str">
        <f>IFERROR(__xludf.dummyfunction("""COMPUTED_VALUE"""),"183******40")</f>
        <v>183******40</v>
      </c>
      <c r="H215" s="11" t="str">
        <f>IFERROR(__xludf.dummyfunction("""COMPUTED_VALUE"""),"INFANTIL 3")</f>
        <v>INFANTIL 3</v>
      </c>
      <c r="I215" s="12" t="str">
        <f>IFERROR(__xludf.dummyfunction("""COMPUTED_VALUE"""),"CEMEI PROFESSORA LINDOMAR DOMINGOS DA SILVA ANJOS")</f>
        <v>CEMEI PROFESSORA LINDOMAR DOMINGOS DA SILVA ANJOS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Height="1" spans="1:26">
      <c r="A216" s="3"/>
      <c r="B216" s="11" t="str">
        <f>IFERROR(__xludf.dummyfunction("""COMPUTED_VALUE"""),"REGIONAL 5")</f>
        <v>REGIONAL 5</v>
      </c>
      <c r="C216" s="11" t="str">
        <f>IFERROR(__xludf.dummyfunction("""COMPUTED_VALUE"""),"28/01/2026 21:43:18")</f>
        <v>28/01/2026 21:43:18</v>
      </c>
      <c r="D216" s="11" t="str">
        <f>IFERROR(__xludf.dummyfunction("""COMPUTED_VALUE"""),"1")</f>
        <v>1</v>
      </c>
      <c r="E216" s="11" t="str">
        <f>IFERROR(__xludf.dummyfunction("""COMPUTED_VALUE"""),"A. D. D. O. A")</f>
        <v>A. D. D. O. A</v>
      </c>
      <c r="F216" s="11" t="str">
        <f>IFERROR(__xludf.dummyfunction("""COMPUTED_VALUE"""),"10/10/2024")</f>
        <v>10/10/2024</v>
      </c>
      <c r="G216" s="11" t="str">
        <f>IFERROR(__xludf.dummyfunction("""COMPUTED_VALUE"""),"005******63")</f>
        <v>005******63</v>
      </c>
      <c r="H216" s="11" t="str">
        <f>IFERROR(__xludf.dummyfunction("""COMPUTED_VALUE"""),"INFANTIL 1")</f>
        <v>INFANTIL 1</v>
      </c>
      <c r="I216" s="12" t="str">
        <f>IFERROR(__xludf.dummyfunction("""COMPUTED_VALUE"""),"CEMEI SILVIA MARIA DE OLIVEIRA")</f>
        <v>CEMEI SILVIA MARIA DE OLIVEIRA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Height="1" spans="1:26">
      <c r="A217" s="3"/>
      <c r="B217" s="11" t="str">
        <f>IFERROR(__xludf.dummyfunction("""COMPUTED_VALUE"""),"REGIONAL 5")</f>
        <v>REGIONAL 5</v>
      </c>
      <c r="C217" s="11" t="str">
        <f>IFERROR(__xludf.dummyfunction("""COMPUTED_VALUE"""),"17/07/2026 13:01:30")</f>
        <v>17/07/2026 13:01:30</v>
      </c>
      <c r="D217" s="11" t="str">
        <f>IFERROR(__xludf.dummyfunction("""COMPUTED_VALUE"""),"2")</f>
        <v>2</v>
      </c>
      <c r="E217" s="11" t="str">
        <f>IFERROR(__xludf.dummyfunction("""COMPUTED_VALUE"""),"L. F. S. d. l")</f>
        <v>L. F. S. d. l</v>
      </c>
      <c r="F217" s="11" t="str">
        <f>IFERROR(__xludf.dummyfunction("""COMPUTED_VALUE"""),"09/11/2025")</f>
        <v>09/11/2025</v>
      </c>
      <c r="G217" s="11" t="str">
        <f>IFERROR(__xludf.dummyfunction("""COMPUTED_VALUE"""),"021******91")</f>
        <v>021******91</v>
      </c>
      <c r="H217" s="11" t="str">
        <f>IFERROR(__xludf.dummyfunction("""COMPUTED_VALUE"""),"INFANTIL 1")</f>
        <v>INFANTIL 1</v>
      </c>
      <c r="I217" s="12" t="str">
        <f>IFERROR(__xludf.dummyfunction("""COMPUTED_VALUE"""),"CEMEI SILVIA MARIA DE OLIVEIRA")</f>
        <v>CEMEI SILVIA MARIA DE OLIVEIRA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Height="1" spans="1:26">
      <c r="A218" s="3"/>
      <c r="B218" s="11" t="str">
        <f>IFERROR(__xludf.dummyfunction("""COMPUTED_VALUE"""),"REGIONAL 5")</f>
        <v>REGIONAL 5</v>
      </c>
      <c r="C218" s="11" t="str">
        <f>IFERROR(__xludf.dummyfunction("""COMPUTED_VALUE"""),"17/07/2026 13:07:15")</f>
        <v>17/07/2026 13:07:15</v>
      </c>
      <c r="D218" s="11" t="str">
        <f>IFERROR(__xludf.dummyfunction("""COMPUTED_VALUE"""),"3")</f>
        <v>3</v>
      </c>
      <c r="E218" s="11" t="str">
        <f>IFERROR(__xludf.dummyfunction("""COMPUTED_VALUE"""),"L. N. s. d. l")</f>
        <v>L. N. s. d. l</v>
      </c>
      <c r="F218" s="11" t="str">
        <f>IFERROR(__xludf.dummyfunction("""COMPUTED_VALUE"""),"20/10/2024")</f>
        <v>20/10/2024</v>
      </c>
      <c r="G218" s="11" t="str">
        <f>IFERROR(__xludf.dummyfunction("""COMPUTED_VALUE"""),"005******50")</f>
        <v>005******50</v>
      </c>
      <c r="H218" s="11" t="str">
        <f>IFERROR(__xludf.dummyfunction("""COMPUTED_VALUE"""),"INFANTIL 1")</f>
        <v>INFANTIL 1</v>
      </c>
      <c r="I218" s="12" t="str">
        <f>IFERROR(__xludf.dummyfunction("""COMPUTED_VALUE"""),"CEMEI SILVIA MARIA DE OLIVEIRA")</f>
        <v>CEMEI SILVIA MARIA DE OLIVEIRA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Height="1" spans="1:26">
      <c r="A219" s="3"/>
      <c r="B219" s="11" t="str">
        <f>IFERROR(__xludf.dummyfunction("""COMPUTED_VALUE"""),"REGIONAL 5")</f>
        <v>REGIONAL 5</v>
      </c>
      <c r="C219" s="11" t="str">
        <f>IFERROR(__xludf.dummyfunction("""COMPUTED_VALUE"""),"09/07/2026 10:26:31")</f>
        <v>09/07/2026 10:26:31</v>
      </c>
      <c r="D219" s="11" t="str">
        <f>IFERROR(__xludf.dummyfunction("""COMPUTED_VALUE"""),"1")</f>
        <v>1</v>
      </c>
      <c r="E219" s="11" t="str">
        <f>IFERROR(__xludf.dummyfunction("""COMPUTED_VALUE"""),"H. M. S. D. N")</f>
        <v>H. M. S. D. N</v>
      </c>
      <c r="F219" s="11" t="str">
        <f>IFERROR(__xludf.dummyfunction("""COMPUTED_VALUE"""),"19/08/2023")</f>
        <v>19/08/2023</v>
      </c>
      <c r="G219" s="11" t="str">
        <f>IFERROR(__xludf.dummyfunction("""COMPUTED_VALUE"""),"003******21")</f>
        <v>003******21</v>
      </c>
      <c r="H219" s="11" t="str">
        <f>IFERROR(__xludf.dummyfunction("""COMPUTED_VALUE"""),"INFANTIL 2")</f>
        <v>INFANTIL 2</v>
      </c>
      <c r="I219" s="12" t="str">
        <f>IFERROR(__xludf.dummyfunction("""COMPUTED_VALUE"""),"CEMEI SILVIA MARIA DE OLIVEIRA")</f>
        <v>CEMEI SILVIA MARIA DE OLIVEIRA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Height="1" spans="1:26">
      <c r="A220" s="3"/>
      <c r="B220" s="11" t="str">
        <f>IFERROR(__xludf.dummyfunction("""COMPUTED_VALUE"""),"REGIONAL 6")</f>
        <v>REGIONAL 6</v>
      </c>
      <c r="C220" s="11" t="str">
        <f>IFERROR(__xludf.dummyfunction("""COMPUTED_VALUE"""),"23/03/2026 19:01:28")</f>
        <v>23/03/2026 19:01:28</v>
      </c>
      <c r="D220" s="11" t="str">
        <f>IFERROR(__xludf.dummyfunction("""COMPUTED_VALUE"""),"2")</f>
        <v>2</v>
      </c>
      <c r="E220" s="11" t="str">
        <f>IFERROR(__xludf.dummyfunction("""COMPUTED_VALUE"""),"L. S. S")</f>
        <v>L. S. S</v>
      </c>
      <c r="F220" s="11" t="str">
        <f>IFERROR(__xludf.dummyfunction("""COMPUTED_VALUE"""),"15/05/2024")</f>
        <v>15/05/2024</v>
      </c>
      <c r="G220" s="11" t="str">
        <f>IFERROR(__xludf.dummyfunction("""COMPUTED_VALUE"""),"003******82")</f>
        <v>003******82</v>
      </c>
      <c r="H220" s="11" t="str">
        <f>IFERROR(__xludf.dummyfunction("""COMPUTED_VALUE"""),"INFANTIL 1")</f>
        <v>INFANTIL 1</v>
      </c>
      <c r="I220" s="12" t="str">
        <f>IFERROR(__xludf.dummyfunction("""COMPUTED_VALUE"""),"CEMEI LIGIA ARAUJO DE OLIVEIRA")</f>
        <v>CEMEI LIGIA ARAUJO DE OLIVEIRA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Height="1" spans="1:26">
      <c r="A221" s="3"/>
      <c r="B221" s="11" t="str">
        <f>IFERROR(__xludf.dummyfunction("""COMPUTED_VALUE"""),"REGIONAL 6")</f>
        <v>REGIONAL 6</v>
      </c>
      <c r="C221" s="11" t="str">
        <f>IFERROR(__xludf.dummyfunction("""COMPUTED_VALUE"""),"25/08/2026 13:04:30")</f>
        <v>25/08/2026 13:04:30</v>
      </c>
      <c r="D221" s="11" t="str">
        <f>IFERROR(__xludf.dummyfunction("""COMPUTED_VALUE"""),"3")</f>
        <v>3</v>
      </c>
      <c r="E221" s="11" t="str">
        <f>IFERROR(__xludf.dummyfunction("""COMPUTED_VALUE"""),"L. r. d. s. f")</f>
        <v>L. r. d. s. f</v>
      </c>
      <c r="F221" s="11" t="str">
        <f>IFERROR(__xludf.dummyfunction("""COMPUTED_VALUE"""),"26/12/2025")</f>
        <v>26/12/2025</v>
      </c>
      <c r="G221" s="11" t="str">
        <f>IFERROR(__xludf.dummyfunction("""COMPUTED_VALUE"""),"037******58")</f>
        <v>037******58</v>
      </c>
      <c r="H221" s="11" t="str">
        <f>IFERROR(__xludf.dummyfunction("""COMPUTED_VALUE"""),"INFANTIL 1")</f>
        <v>INFANTIL 1</v>
      </c>
      <c r="I221" s="12" t="str">
        <f>IFERROR(__xludf.dummyfunction("""COMPUTED_VALUE"""),"CEMEI LIGIA ARAUJO DE OLIVEIRA")</f>
        <v>CEMEI LIGIA ARAUJO DE OLIVEIRA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Height="1" spans="1:26">
      <c r="A222" s="3"/>
      <c r="B222" s="11" t="str">
        <f>IFERROR(__xludf.dummyfunction("""COMPUTED_VALUE"""),"REGIONAL 6")</f>
        <v>REGIONAL 6</v>
      </c>
      <c r="C222" s="11" t="str">
        <f>IFERROR(__xludf.dummyfunction("""COMPUTED_VALUE"""),"29/08/2026 22:31:44")</f>
        <v>29/08/2026 22:31:44</v>
      </c>
      <c r="D222" s="11" t="str">
        <f>IFERROR(__xludf.dummyfunction("""COMPUTED_VALUE"""),"4")</f>
        <v>4</v>
      </c>
      <c r="E222" s="11" t="str">
        <f>IFERROR(__xludf.dummyfunction("""COMPUTED_VALUE"""),"B. A. S")</f>
        <v>B. A. S</v>
      </c>
      <c r="F222" s="11" t="str">
        <f>IFERROR(__xludf.dummyfunction("""COMPUTED_VALUE"""),"05/08/2025")</f>
        <v>05/08/2025</v>
      </c>
      <c r="G222" s="11" t="str">
        <f>IFERROR(__xludf.dummyfunction("""COMPUTED_VALUE"""),"007******70")</f>
        <v>007******70</v>
      </c>
      <c r="H222" s="11" t="str">
        <f>IFERROR(__xludf.dummyfunction("""COMPUTED_VALUE"""),"INFANTIL 1")</f>
        <v>INFANTIL 1</v>
      </c>
      <c r="I222" s="12" t="str">
        <f>IFERROR(__xludf.dummyfunction("""COMPUTED_VALUE"""),"CEMEI LIGIA ARAUJO DE OLIVEIRA")</f>
        <v>CEMEI LIGIA ARAUJO DE OLIVEIRA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Height="1" spans="1:26">
      <c r="A223" s="3"/>
      <c r="B223" s="11" t="str">
        <f>IFERROR(__xludf.dummyfunction("""COMPUTED_VALUE"""),"REGIONAL 6")</f>
        <v>REGIONAL 6</v>
      </c>
      <c r="C223" s="11" t="str">
        <f>IFERROR(__xludf.dummyfunction("""COMPUTED_VALUE"""),"28/01/2026 08:07:40")</f>
        <v>28/01/2026 08:07:40</v>
      </c>
      <c r="D223" s="11" t="str">
        <f>IFERROR(__xludf.dummyfunction("""COMPUTED_VALUE"""),"1")</f>
        <v>1</v>
      </c>
      <c r="E223" s="11" t="str">
        <f>IFERROR(__xludf.dummyfunction("""COMPUTED_VALUE"""),"Í. M. E. D. S")</f>
        <v>Í. M. E. D. S</v>
      </c>
      <c r="F223" s="11" t="str">
        <f>IFERROR(__xludf.dummyfunction("""COMPUTED_VALUE"""),"19/08/2023")</f>
        <v>19/08/2023</v>
      </c>
      <c r="G223" s="11" t="str">
        <f>IFERROR(__xludf.dummyfunction("""COMPUTED_VALUE"""),"001******67")</f>
        <v>001******67</v>
      </c>
      <c r="H223" s="11" t="str">
        <f>IFERROR(__xludf.dummyfunction("""COMPUTED_VALUE"""),"INFANTIL 2")</f>
        <v>INFANTIL 2</v>
      </c>
      <c r="I223" s="12" t="str">
        <f>IFERROR(__xludf.dummyfunction("""COMPUTED_VALUE"""),"CEMEI LIGIA ARAUJO DE OLIVEIRA")</f>
        <v>CEMEI LIGIA ARAUJO DE OLIVEIRA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Height="1" spans="1:26">
      <c r="A224" s="3"/>
      <c r="B224" s="11" t="str">
        <f>IFERROR(__xludf.dummyfunction("""COMPUTED_VALUE"""),"REGIONAL 6")</f>
        <v>REGIONAL 6</v>
      </c>
      <c r="C224" s="11" t="str">
        <f>IFERROR(__xludf.dummyfunction("""COMPUTED_VALUE"""),"29/01/2026 10:35:38")</f>
        <v>29/01/2026 10:35:38</v>
      </c>
      <c r="D224" s="11" t="str">
        <f>IFERROR(__xludf.dummyfunction("""COMPUTED_VALUE"""),"2")</f>
        <v>2</v>
      </c>
      <c r="E224" s="11" t="str">
        <f>IFERROR(__xludf.dummyfunction("""COMPUTED_VALUE"""),"O. H. L. L")</f>
        <v>O. H. L. L</v>
      </c>
      <c r="F224" s="11" t="str">
        <f>IFERROR(__xludf.dummyfunction("""COMPUTED_VALUE"""),"27/05/2023")</f>
        <v>27/05/2023</v>
      </c>
      <c r="G224" s="11" t="str">
        <f>IFERROR(__xludf.dummyfunction("""COMPUTED_VALUE"""),"185******18")</f>
        <v>185******18</v>
      </c>
      <c r="H224" s="11" t="str">
        <f>IFERROR(__xludf.dummyfunction("""COMPUTED_VALUE"""),"INFANTIL 2")</f>
        <v>INFANTIL 2</v>
      </c>
      <c r="I224" s="12" t="str">
        <f>IFERROR(__xludf.dummyfunction("""COMPUTED_VALUE"""),"CEMEI LIGIA ARAUJO DE OLIVEIRA")</f>
        <v>CEMEI LIGIA ARAUJO DE OLIVEIRA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Height="1" spans="1:26">
      <c r="A225" s="3"/>
      <c r="B225" s="11" t="str">
        <f>IFERROR(__xludf.dummyfunction("""COMPUTED_VALUE"""),"REGIONAL 6")</f>
        <v>REGIONAL 6</v>
      </c>
      <c r="C225" s="11" t="str">
        <f>IFERROR(__xludf.dummyfunction("""COMPUTED_VALUE"""),"11/03/2026 10:19:05")</f>
        <v>11/03/2026 10:19:05</v>
      </c>
      <c r="D225" s="11" t="str">
        <f>IFERROR(__xludf.dummyfunction("""COMPUTED_VALUE"""),"3")</f>
        <v>3</v>
      </c>
      <c r="E225" s="11" t="str">
        <f>IFERROR(__xludf.dummyfunction("""COMPUTED_VALUE"""),"A. G. D. S. S")</f>
        <v>A. G. D. S. S</v>
      </c>
      <c r="F225" s="11" t="str">
        <f>IFERROR(__xludf.dummyfunction("""COMPUTED_VALUE"""),"30/12/2023")</f>
        <v>30/12/2023</v>
      </c>
      <c r="G225" s="11" t="str">
        <f>IFERROR(__xludf.dummyfunction("""COMPUTED_VALUE"""),"001******00")</f>
        <v>001******00</v>
      </c>
      <c r="H225" s="11" t="str">
        <f>IFERROR(__xludf.dummyfunction("""COMPUTED_VALUE"""),"INFANTIL 2")</f>
        <v>INFANTIL 2</v>
      </c>
      <c r="I225" s="12" t="str">
        <f>IFERROR(__xludf.dummyfunction("""COMPUTED_VALUE"""),"CEMEI LIGIA ARAUJO DE OLIVEIRA")</f>
        <v>CEMEI LIGIA ARAUJO DE OLIVEIRA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Height="1" spans="1:26">
      <c r="A226" s="3"/>
      <c r="B226" s="11" t="str">
        <f>IFERROR(__xludf.dummyfunction("""COMPUTED_VALUE"""),"REGIONAL 6")</f>
        <v>REGIONAL 6</v>
      </c>
      <c r="C226" s="11" t="str">
        <f>IFERROR(__xludf.dummyfunction("""COMPUTED_VALUE"""),"20/04/2026 12:53:45")</f>
        <v>20/04/2026 12:53:45</v>
      </c>
      <c r="D226" s="11" t="str">
        <f>IFERROR(__xludf.dummyfunction("""COMPUTED_VALUE"""),"4")</f>
        <v>4</v>
      </c>
      <c r="E226" s="11" t="str">
        <f>IFERROR(__xludf.dummyfunction("""COMPUTED_VALUE"""),"I. M. D. D. S")</f>
        <v>I. M. D. D. S</v>
      </c>
      <c r="F226" s="11" t="str">
        <f>IFERROR(__xludf.dummyfunction("""COMPUTED_VALUE"""),"02/05/2023")</f>
        <v>02/05/2023</v>
      </c>
      <c r="G226" s="11" t="str">
        <f>IFERROR(__xludf.dummyfunction("""COMPUTED_VALUE"""),"166******37")</f>
        <v>166******37</v>
      </c>
      <c r="H226" s="11" t="str">
        <f>IFERROR(__xludf.dummyfunction("""COMPUTED_VALUE"""),"INFANTIL 2")</f>
        <v>INFANTIL 2</v>
      </c>
      <c r="I226" s="12" t="str">
        <f>IFERROR(__xludf.dummyfunction("""COMPUTED_VALUE"""),"CEMEI LIGIA ARAUJO DE OLIVEIRA")</f>
        <v>CEMEI LIGIA ARAUJO DE OLIVEIRA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Height="1" spans="1:26">
      <c r="A227" s="3"/>
      <c r="B227" s="11" t="str">
        <f>IFERROR(__xludf.dummyfunction("""COMPUTED_VALUE"""),"REGIONAL 6")</f>
        <v>REGIONAL 6</v>
      </c>
      <c r="C227" s="11" t="str">
        <f>IFERROR(__xludf.dummyfunction("""COMPUTED_VALUE"""),"08/05/2026 07:30:21")</f>
        <v>08/05/2026 07:30:21</v>
      </c>
      <c r="D227" s="11" t="str">
        <f>IFERROR(__xludf.dummyfunction("""COMPUTED_VALUE"""),"5")</f>
        <v>5</v>
      </c>
      <c r="E227" s="11" t="str">
        <f>IFERROR(__xludf.dummyfunction("""COMPUTED_VALUE"""),"H. G. M. D. S")</f>
        <v>H. G. M. D. S</v>
      </c>
      <c r="F227" s="11" t="str">
        <f>IFERROR(__xludf.dummyfunction("""COMPUTED_VALUE"""),"20/05/2023")</f>
        <v>20/05/2023</v>
      </c>
      <c r="G227" s="11" t="str">
        <f>IFERROR(__xludf.dummyfunction("""COMPUTED_VALUE"""),"185******29")</f>
        <v>185******29</v>
      </c>
      <c r="H227" s="11" t="str">
        <f>IFERROR(__xludf.dummyfunction("""COMPUTED_VALUE"""),"INFANTIL 2")</f>
        <v>INFANTIL 2</v>
      </c>
      <c r="I227" s="12" t="str">
        <f>IFERROR(__xludf.dummyfunction("""COMPUTED_VALUE"""),"CEMEI LIGIA ARAUJO DE OLIVEIRA")</f>
        <v>CEMEI LIGIA ARAUJO DE OLIVEIRA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Height="1" spans="1:26">
      <c r="A228" s="3"/>
      <c r="B228" s="11" t="str">
        <f>IFERROR(__xludf.dummyfunction("""COMPUTED_VALUE"""),"REGIONAL 6")</f>
        <v>REGIONAL 6</v>
      </c>
      <c r="C228" s="11" t="str">
        <f>IFERROR(__xludf.dummyfunction("""COMPUTED_VALUE"""),"10/06/2026 09:35:26")</f>
        <v>10/06/2026 09:35:26</v>
      </c>
      <c r="D228" s="11" t="str">
        <f>IFERROR(__xludf.dummyfunction("""COMPUTED_VALUE"""),"6")</f>
        <v>6</v>
      </c>
      <c r="E228" s="11" t="str">
        <f>IFERROR(__xludf.dummyfunction("""COMPUTED_VALUE"""),"H. L. P. D. S")</f>
        <v>H. L. P. D. S</v>
      </c>
      <c r="F228" s="11" t="str">
        <f>IFERROR(__xludf.dummyfunction("""COMPUTED_VALUE"""),"22/06/2023")</f>
        <v>22/06/2023</v>
      </c>
      <c r="G228" s="11" t="str">
        <f>IFERROR(__xludf.dummyfunction("""COMPUTED_VALUE"""),"035******53")</f>
        <v>035******53</v>
      </c>
      <c r="H228" s="11" t="str">
        <f>IFERROR(__xludf.dummyfunction("""COMPUTED_VALUE"""),"INFANTIL 2")</f>
        <v>INFANTIL 2</v>
      </c>
      <c r="I228" s="12" t="str">
        <f>IFERROR(__xludf.dummyfunction("""COMPUTED_VALUE"""),"CEMEI LIGIA ARAUJO DE OLIVEIRA")</f>
        <v>CEMEI LIGIA ARAUJO DE OLIVEIRA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Height="1" spans="1:26">
      <c r="A229" s="3"/>
      <c r="B229" s="11" t="str">
        <f>IFERROR(__xludf.dummyfunction("""COMPUTED_VALUE"""),"REGIONAL 6")</f>
        <v>REGIONAL 6</v>
      </c>
      <c r="C229" s="11" t="str">
        <f>IFERROR(__xludf.dummyfunction("""COMPUTED_VALUE"""),"03/02/2026 14:12:28")</f>
        <v>03/02/2026 14:12:28</v>
      </c>
      <c r="D229" s="11" t="str">
        <f>IFERROR(__xludf.dummyfunction("""COMPUTED_VALUE"""),"1")</f>
        <v>1</v>
      </c>
      <c r="E229" s="11" t="str">
        <f>IFERROR(__xludf.dummyfunction("""COMPUTED_VALUE"""),"A. F. D. S")</f>
        <v>A. F. D. S</v>
      </c>
      <c r="F229" s="11" t="str">
        <f>IFERROR(__xludf.dummyfunction("""COMPUTED_VALUE"""),"22/11/2022")</f>
        <v>22/11/2022</v>
      </c>
      <c r="G229" s="11" t="str">
        <f>IFERROR(__xludf.dummyfunction("""COMPUTED_VALUE"""),"183******05")</f>
        <v>183******05</v>
      </c>
      <c r="H229" s="11" t="str">
        <f>IFERROR(__xludf.dummyfunction("""COMPUTED_VALUE"""),"INFANTIL 3")</f>
        <v>INFANTIL 3</v>
      </c>
      <c r="I229" s="12" t="str">
        <f>IFERROR(__xludf.dummyfunction("""COMPUTED_VALUE"""),"CEMEI LIGIA ARAUJO DE OLIVEIRA")</f>
        <v>CEMEI LIGIA ARAUJO DE OLIVEIRA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Height="1" spans="1:26">
      <c r="A230" s="3"/>
      <c r="B230" s="11" t="str">
        <f>IFERROR(__xludf.dummyfunction("""COMPUTED_VALUE"""),"REGIONAL 6")</f>
        <v>REGIONAL 6</v>
      </c>
      <c r="C230" s="11" t="str">
        <f>IFERROR(__xludf.dummyfunction("""COMPUTED_VALUE"""),"03/02/2026 14:18:57")</f>
        <v>03/02/2026 14:18:57</v>
      </c>
      <c r="D230" s="11" t="str">
        <f>IFERROR(__xludf.dummyfunction("""COMPUTED_VALUE"""),"2")</f>
        <v>2</v>
      </c>
      <c r="E230" s="11" t="str">
        <f>IFERROR(__xludf.dummyfunction("""COMPUTED_VALUE"""),"A. F. D. S")</f>
        <v>A. F. D. S</v>
      </c>
      <c r="F230" s="11" t="str">
        <f>IFERROR(__xludf.dummyfunction("""COMPUTED_VALUE"""),"22/11/2022")</f>
        <v>22/11/2022</v>
      </c>
      <c r="G230" s="11" t="str">
        <f>IFERROR(__xludf.dummyfunction("""COMPUTED_VALUE"""),"183******11")</f>
        <v>183******11</v>
      </c>
      <c r="H230" s="11" t="str">
        <f>IFERROR(__xludf.dummyfunction("""COMPUTED_VALUE"""),"INFANTIL 3")</f>
        <v>INFANTIL 3</v>
      </c>
      <c r="I230" s="12" t="str">
        <f>IFERROR(__xludf.dummyfunction("""COMPUTED_VALUE"""),"CEMEI LIGIA ARAUJO DE OLIVEIRA")</f>
        <v>CEMEI LIGIA ARAUJO DE OLIVEIRA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Height="1" spans="1:26">
      <c r="A231" s="3"/>
      <c r="B231" s="11" t="str">
        <f>IFERROR(__xludf.dummyfunction("""COMPUTED_VALUE"""),"REGIONAL 6")</f>
        <v>REGIONAL 6</v>
      </c>
      <c r="C231" s="11" t="str">
        <f>IFERROR(__xludf.dummyfunction("""COMPUTED_VALUE"""),"23/02/2026 20:39:24")</f>
        <v>23/02/2026 20:39:24</v>
      </c>
      <c r="D231" s="11" t="str">
        <f>IFERROR(__xludf.dummyfunction("""COMPUTED_VALUE"""),"3")</f>
        <v>3</v>
      </c>
      <c r="E231" s="11" t="str">
        <f>IFERROR(__xludf.dummyfunction("""COMPUTED_VALUE"""),"A. E. P. D. S")</f>
        <v>A. E. P. D. S</v>
      </c>
      <c r="F231" s="11" t="str">
        <f>IFERROR(__xludf.dummyfunction("""COMPUTED_VALUE"""),"31/08/2022")</f>
        <v>31/08/2022</v>
      </c>
      <c r="G231" s="11" t="str">
        <f>IFERROR(__xludf.dummyfunction("""COMPUTED_VALUE"""),"182******05")</f>
        <v>182******05</v>
      </c>
      <c r="H231" s="11" t="str">
        <f>IFERROR(__xludf.dummyfunction("""COMPUTED_VALUE"""),"INFANTIL 3")</f>
        <v>INFANTIL 3</v>
      </c>
      <c r="I231" s="12" t="str">
        <f>IFERROR(__xludf.dummyfunction("""COMPUTED_VALUE"""),"CEMEI LIGIA ARAUJO DE OLIVEIRA")</f>
        <v>CEMEI LIGIA ARAUJO DE OLIVEIRA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Height="1" spans="1:26">
      <c r="A232" s="3"/>
      <c r="B232" s="11" t="str">
        <f>IFERROR(__xludf.dummyfunction("""COMPUTED_VALUE"""),"REGIONAL 6")</f>
        <v>REGIONAL 6</v>
      </c>
      <c r="C232" s="11" t="str">
        <f>IFERROR(__xludf.dummyfunction("""COMPUTED_VALUE"""),"11/08/2026 13:20:40")</f>
        <v>11/08/2026 13:20:40</v>
      </c>
      <c r="D232" s="11" t="str">
        <f>IFERROR(__xludf.dummyfunction("""COMPUTED_VALUE"""),"4")</f>
        <v>4</v>
      </c>
      <c r="E232" s="11" t="str">
        <f>IFERROR(__xludf.dummyfunction("""COMPUTED_VALUE"""),"K. H. d. S")</f>
        <v>K. H. d. S</v>
      </c>
      <c r="F232" s="11" t="str">
        <f>IFERROR(__xludf.dummyfunction("""COMPUTED_VALUE"""),"09/03/2023")</f>
        <v>09/03/2023</v>
      </c>
      <c r="G232" s="11" t="str">
        <f>IFERROR(__xludf.dummyfunction("""COMPUTED_VALUE"""),"184******13")</f>
        <v>184******13</v>
      </c>
      <c r="H232" s="11" t="str">
        <f>IFERROR(__xludf.dummyfunction("""COMPUTED_VALUE"""),"INFANTIL 3")</f>
        <v>INFANTIL 3</v>
      </c>
      <c r="I232" s="12" t="str">
        <f>IFERROR(__xludf.dummyfunction("""COMPUTED_VALUE"""),"CEMEI LIGIA ARAUJO DE OLIVEIRA")</f>
        <v>CEMEI LIGIA ARAUJO DE OLIVEIRA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Height="1" spans="1:26">
      <c r="A233" s="3"/>
      <c r="B233" s="11" t="str">
        <f>IFERROR(__xludf.dummyfunction("""COMPUTED_VALUE"""),"REGIONAL 6")</f>
        <v>REGIONAL 6</v>
      </c>
      <c r="C233" s="11" t="str">
        <f>IFERROR(__xludf.dummyfunction("""COMPUTED_VALUE"""),"24/02/2026 14:04:38")</f>
        <v>24/02/2026 14:04:38</v>
      </c>
      <c r="D233" s="11" t="str">
        <f>IFERROR(__xludf.dummyfunction("""COMPUTED_VALUE"""),"1")</f>
        <v>1</v>
      </c>
      <c r="E233" s="11" t="str">
        <f>IFERROR(__xludf.dummyfunction("""COMPUTED_VALUE"""),"J. M. F. D. S")</f>
        <v>J. M. F. D. S</v>
      </c>
      <c r="F233" s="11" t="str">
        <f>IFERROR(__xludf.dummyfunction("""COMPUTED_VALUE"""),"01/11/2022")</f>
        <v>01/11/2022</v>
      </c>
      <c r="G233" s="11" t="str">
        <f>IFERROR(__xludf.dummyfunction("""COMPUTED_VALUE"""),"185******30")</f>
        <v>185******30</v>
      </c>
      <c r="H233" s="11" t="str">
        <f>IFERROR(__xludf.dummyfunction("""COMPUTED_VALUE"""),"INFANTIL 3")</f>
        <v>INFANTIL 3</v>
      </c>
      <c r="I233" s="12" t="str">
        <f>IFERROR(__xludf.dummyfunction("""COMPUTED_VALUE"""),"CEMEI PROFESSORA MARLUCIA EVANGELISTA DE SOUZA")</f>
        <v>CEMEI PROFESSORA MARLUCIA EVANGELISTA DE SOUZA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Height="1" spans="1:26">
      <c r="A234" s="3"/>
      <c r="B234" s="11" t="str">
        <f>IFERROR(__xludf.dummyfunction("""COMPUTED_VALUE"""),"REGIONAL 6")</f>
        <v>REGIONAL 6</v>
      </c>
      <c r="C234" s="11" t="str">
        <f>IFERROR(__xludf.dummyfunction("""COMPUTED_VALUE"""),"26/03/2026 11:14:13")</f>
        <v>26/03/2026 11:14:13</v>
      </c>
      <c r="D234" s="11" t="str">
        <f>IFERROR(__xludf.dummyfunction("""COMPUTED_VALUE"""),"2")</f>
        <v>2</v>
      </c>
      <c r="E234" s="11" t="str">
        <f>IFERROR(__xludf.dummyfunction("""COMPUTED_VALUE"""),"E. G. M. D. N")</f>
        <v>E. G. M. D. N</v>
      </c>
      <c r="F234" s="11" t="str">
        <f>IFERROR(__xludf.dummyfunction("""COMPUTED_VALUE"""),"19/11/2022")</f>
        <v>19/11/2022</v>
      </c>
      <c r="G234" s="11" t="str">
        <f>IFERROR(__xludf.dummyfunction("""COMPUTED_VALUE"""),"183******10")</f>
        <v>183******10</v>
      </c>
      <c r="H234" s="11" t="str">
        <f>IFERROR(__xludf.dummyfunction("""COMPUTED_VALUE"""),"INFANTIL 3")</f>
        <v>INFANTIL 3</v>
      </c>
      <c r="I234" s="12" t="str">
        <f>IFERROR(__xludf.dummyfunction("""COMPUTED_VALUE"""),"CEMEI PROFESSORA MARLUCIA EVANGELISTA DE SOUZA")</f>
        <v>CEMEI PROFESSORA MARLUCIA EVANGELISTA DE SOUZA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Height="1" spans="1:26">
      <c r="A235" s="3"/>
      <c r="B235" s="11" t="str">
        <f>IFERROR(__xludf.dummyfunction("""COMPUTED_VALUE"""),"REGIONAL 6")</f>
        <v>REGIONAL 6</v>
      </c>
      <c r="C235" s="11" t="str">
        <f>IFERROR(__xludf.dummyfunction("""COMPUTED_VALUE"""),"27/03/2026 08:54:52")</f>
        <v>27/03/2026 08:54:52</v>
      </c>
      <c r="D235" s="11" t="str">
        <f>IFERROR(__xludf.dummyfunction("""COMPUTED_VALUE"""),"3")</f>
        <v>3</v>
      </c>
      <c r="E235" s="11" t="str">
        <f>IFERROR(__xludf.dummyfunction("""COMPUTED_VALUE"""),"M. H. D. S. L")</f>
        <v>M. H. D. S. L</v>
      </c>
      <c r="F235" s="11" t="str">
        <f>IFERROR(__xludf.dummyfunction("""COMPUTED_VALUE"""),"11/05/2022")</f>
        <v>11/05/2022</v>
      </c>
      <c r="G235" s="11" t="str">
        <f>IFERROR(__xludf.dummyfunction("""COMPUTED_VALUE"""),"183******63")</f>
        <v>183******63</v>
      </c>
      <c r="H235" s="11" t="str">
        <f>IFERROR(__xludf.dummyfunction("""COMPUTED_VALUE"""),"INFANTIL 3")</f>
        <v>INFANTIL 3</v>
      </c>
      <c r="I235" s="12" t="str">
        <f>IFERROR(__xludf.dummyfunction("""COMPUTED_VALUE"""),"CEMEI PROFESSORA MARLUCIA EVANGELISTA DE SOUZA")</f>
        <v>CEMEI PROFESSORA MARLUCIA EVANGELISTA DE SOUZA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Height="1" spans="1:26">
      <c r="A236" s="3"/>
      <c r="B236" s="11" t="str">
        <f>IFERROR(__xludf.dummyfunction("""COMPUTED_VALUE"""),"REGIONAL 6")</f>
        <v>REGIONAL 6</v>
      </c>
      <c r="C236" s="11" t="str">
        <f>IFERROR(__xludf.dummyfunction("""COMPUTED_VALUE"""),"09/06/2026 13:23:26")</f>
        <v>09/06/2026 13:23:26</v>
      </c>
      <c r="D236" s="11" t="str">
        <f>IFERROR(__xludf.dummyfunction("""COMPUTED_VALUE"""),"4")</f>
        <v>4</v>
      </c>
      <c r="E236" s="11" t="str">
        <f>IFERROR(__xludf.dummyfunction("""COMPUTED_VALUE"""),"M. C. L. d. S")</f>
        <v>M. C. L. d. S</v>
      </c>
      <c r="F236" s="11" t="str">
        <f>IFERROR(__xludf.dummyfunction("""COMPUTED_VALUE"""),"04/01/2023")</f>
        <v>04/01/2023</v>
      </c>
      <c r="G236" s="11" t="str">
        <f>IFERROR(__xludf.dummyfunction("""COMPUTED_VALUE"""),"184******58")</f>
        <v>184******58</v>
      </c>
      <c r="H236" s="11" t="str">
        <f>IFERROR(__xludf.dummyfunction("""COMPUTED_VALUE"""),"INFANTIL 3")</f>
        <v>INFANTIL 3</v>
      </c>
      <c r="I236" s="12" t="str">
        <f>IFERROR(__xludf.dummyfunction("""COMPUTED_VALUE"""),"CEMEI PROFESSORA MARLUCIA EVANGELISTA DE SOUZA")</f>
        <v>CEMEI PROFESSORA MARLUCIA EVANGELISTA DE SOUZA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Height="1" spans="1:26">
      <c r="A237" s="3"/>
      <c r="B237" s="11" t="str">
        <f>IFERROR(__xludf.dummyfunction("""COMPUTED_VALUE"""),"REGIONAL 6")</f>
        <v>REGIONAL 6</v>
      </c>
      <c r="C237" s="11" t="str">
        <f>IFERROR(__xludf.dummyfunction("""COMPUTED_VALUE"""),"25/08/2026 12:01:52")</f>
        <v>25/08/2026 12:01:52</v>
      </c>
      <c r="D237" s="11" t="str">
        <f>IFERROR(__xludf.dummyfunction("""COMPUTED_VALUE"""),"5")</f>
        <v>5</v>
      </c>
      <c r="E237" s="11" t="str">
        <f>IFERROR(__xludf.dummyfunction("""COMPUTED_VALUE"""),"M. J. d. S. f")</f>
        <v>M. J. d. S. f</v>
      </c>
      <c r="F237" s="11" t="str">
        <f>IFERROR(__xludf.dummyfunction("""COMPUTED_VALUE"""),"17/08/2022")</f>
        <v>17/08/2022</v>
      </c>
      <c r="G237" s="11" t="str">
        <f>IFERROR(__xludf.dummyfunction("""COMPUTED_VALUE"""),"183******07")</f>
        <v>183******07</v>
      </c>
      <c r="H237" s="11" t="str">
        <f>IFERROR(__xludf.dummyfunction("""COMPUTED_VALUE"""),"INFANTIL 3")</f>
        <v>INFANTIL 3</v>
      </c>
      <c r="I237" s="12" t="str">
        <f>IFERROR(__xludf.dummyfunction("""COMPUTED_VALUE"""),"CEMEI PROFESSORA MARLUCIA EVANGELISTA DE SOUZA")</f>
        <v>CEMEI PROFESSORA MARLUCIA EVANGELISTA DE SOUZA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Height="1" spans="1:26">
      <c r="A238" s="3"/>
      <c r="B238" s="11" t="str">
        <f>IFERROR(__xludf.dummyfunction("""COMPUTED_VALUE"""),"REGIONAL 6")</f>
        <v>REGIONAL 6</v>
      </c>
      <c r="C238" s="11" t="str">
        <f>IFERROR(__xludf.dummyfunction("""COMPUTED_VALUE"""),"31/03/2026 08:33:16")</f>
        <v>31/03/2026 08:33:16</v>
      </c>
      <c r="D238" s="11" t="str">
        <f>IFERROR(__xludf.dummyfunction("""COMPUTED_VALUE"""),"1")</f>
        <v>1</v>
      </c>
      <c r="E238" s="11" t="str">
        <f>IFERROR(__xludf.dummyfunction("""COMPUTED_VALUE"""),"A. G. B. D. N")</f>
        <v>A. G. B. D. N</v>
      </c>
      <c r="F238" s="11" t="str">
        <f>IFERROR(__xludf.dummyfunction("""COMPUTED_VALUE"""),"03/02/2023")</f>
        <v>03/02/2023</v>
      </c>
      <c r="G238" s="11" t="str">
        <f>IFERROR(__xludf.dummyfunction("""COMPUTED_VALUE"""),"184******02")</f>
        <v>184******02</v>
      </c>
      <c r="H238" s="11" t="str">
        <f>IFERROR(__xludf.dummyfunction("""COMPUTED_VALUE"""),"INFANTIL 3")</f>
        <v>INFANTIL 3</v>
      </c>
      <c r="I238" s="12" t="str">
        <f>IFERROR(__xludf.dummyfunction("""COMPUTED_VALUE"""),"CEMEI PROFESSORA MARLUCIA EVANGELISTA DE SOUZA")</f>
        <v>CEMEI PROFESSORA MARLUCIA EVANGELISTA DE SOUZA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Height="1" spans="1:26">
      <c r="A239" s="3"/>
      <c r="B239" s="11" t="str">
        <f>IFERROR(__xludf.dummyfunction("""COMPUTED_VALUE"""),"REGIONAL 6")</f>
        <v>REGIONAL 6</v>
      </c>
      <c r="C239" s="11" t="str">
        <f>IFERROR(__xludf.dummyfunction("""COMPUTED_VALUE"""),"17/03/2026 11:53:45")</f>
        <v>17/03/2026 11:53:45</v>
      </c>
      <c r="D239" s="11" t="str">
        <f>IFERROR(__xludf.dummyfunction("""COMPUTED_VALUE"""),"1")</f>
        <v>1</v>
      </c>
      <c r="E239" s="11" t="str">
        <f>IFERROR(__xludf.dummyfunction("""COMPUTED_VALUE"""),"S. B. D. S")</f>
        <v>S. B. D. S</v>
      </c>
      <c r="F239" s="11" t="str">
        <f>IFERROR(__xludf.dummyfunction("""COMPUTED_VALUE"""),"09/04/2025")</f>
        <v>09/04/2025</v>
      </c>
      <c r="G239" s="11" t="str">
        <f>IFERROR(__xludf.dummyfunction("""COMPUTED_VALUE"""),"005******50")</f>
        <v>005******50</v>
      </c>
      <c r="H239" s="11" t="str">
        <f>IFERROR(__xludf.dummyfunction("""COMPUTED_VALUE"""),"INFANTIL 1")</f>
        <v>INFANTIL 1</v>
      </c>
      <c r="I239" s="12" t="str">
        <f>IFERROR(__xludf.dummyfunction("""COMPUTED_VALUE"""),"CEMEI PROFESSORA RAKELLY NOGUEIRA DO NASCIMENTO")</f>
        <v>CEMEI PROFESSORA RAKELLY NOGUEIRA DO NASCIMENTO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Height="1" spans="1:26">
      <c r="A240" s="3"/>
      <c r="B240" s="11" t="str">
        <f>IFERROR(__xludf.dummyfunction("""COMPUTED_VALUE"""),"REGIONAL 6")</f>
        <v>REGIONAL 6</v>
      </c>
      <c r="C240" s="11" t="str">
        <f>IFERROR(__xludf.dummyfunction("""COMPUTED_VALUE"""),"22/05/2026 09:50:12")</f>
        <v>22/05/2026 09:50:12</v>
      </c>
      <c r="D240" s="11" t="str">
        <f>IFERROR(__xludf.dummyfunction("""COMPUTED_VALUE"""),"2")</f>
        <v>2</v>
      </c>
      <c r="E240" s="11" t="str">
        <f>IFERROR(__xludf.dummyfunction("""COMPUTED_VALUE"""),"T. V. G. d. S")</f>
        <v>T. V. G. d. S</v>
      </c>
      <c r="F240" s="11" t="str">
        <f>IFERROR(__xludf.dummyfunction("""COMPUTED_VALUE"""),"28/06/2025")</f>
        <v>28/06/2025</v>
      </c>
      <c r="G240" s="11" t="str">
        <f>IFERROR(__xludf.dummyfunction("""COMPUTED_VALUE"""),"006******61")</f>
        <v>006******61</v>
      </c>
      <c r="H240" s="11" t="str">
        <f>IFERROR(__xludf.dummyfunction("""COMPUTED_VALUE"""),"INFANTIL 1")</f>
        <v>INFANTIL 1</v>
      </c>
      <c r="I240" s="12" t="str">
        <f>IFERROR(__xludf.dummyfunction("""COMPUTED_VALUE"""),"CEMEI PROFESSORA RAKELLY NOGUEIRA DO NASCIMENTO")</f>
        <v>CEMEI PROFESSORA RAKELLY NOGUEIRA DO NASCIMENTO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Height="1" spans="1:26">
      <c r="A241" s="3"/>
      <c r="B241" s="11" t="str">
        <f>IFERROR(__xludf.dummyfunction("""COMPUTED_VALUE"""),"REGIONAL 6")</f>
        <v>REGIONAL 6</v>
      </c>
      <c r="C241" s="11" t="str">
        <f>IFERROR(__xludf.dummyfunction("""COMPUTED_VALUE"""),"02/09/2026 08:28:02")</f>
        <v>02/09/2026 08:28:02</v>
      </c>
      <c r="D241" s="11" t="str">
        <f>IFERROR(__xludf.dummyfunction("""COMPUTED_VALUE"""),"3")</f>
        <v>3</v>
      </c>
      <c r="E241" s="11" t="str">
        <f>IFERROR(__xludf.dummyfunction("""COMPUTED_VALUE"""),"M. M. d. S. A")</f>
        <v>M. M. d. S. A</v>
      </c>
      <c r="F241" s="11" t="str">
        <f>IFERROR(__xludf.dummyfunction("""COMPUTED_VALUE"""),"22/04/2025")</f>
        <v>22/04/2025</v>
      </c>
      <c r="G241" s="11" t="str">
        <f>IFERROR(__xludf.dummyfunction("""COMPUTED_VALUE"""),"006******96")</f>
        <v>006******96</v>
      </c>
      <c r="H241" s="11" t="str">
        <f>IFERROR(__xludf.dummyfunction("""COMPUTED_VALUE"""),"INFANTIL 1")</f>
        <v>INFANTIL 1</v>
      </c>
      <c r="I241" s="12" t="str">
        <f>IFERROR(__xludf.dummyfunction("""COMPUTED_VALUE"""),"CEMEI PROFESSORA RAKELLY NOGUEIRA DO NASCIMENTO")</f>
        <v>CEMEI PROFESSORA RAKELLY NOGUEIRA DO NASCIMENTO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Height="1" spans="1:26">
      <c r="A242" s="3"/>
      <c r="B242" s="11" t="str">
        <f>IFERROR(__xludf.dummyfunction("""COMPUTED_VALUE"""),"REGIONAL 6")</f>
        <v>REGIONAL 6</v>
      </c>
      <c r="C242" s="11" t="str">
        <f>IFERROR(__xludf.dummyfunction("""COMPUTED_VALUE"""),"22/09/2026 12:40:29")</f>
        <v>22/09/2026 12:40:29</v>
      </c>
      <c r="D242" s="11" t="str">
        <f>IFERROR(__xludf.dummyfunction("""COMPUTED_VALUE"""),"4")</f>
        <v>4</v>
      </c>
      <c r="E242" s="11" t="str">
        <f>IFERROR(__xludf.dummyfunction("""COMPUTED_VALUE"""),"D. V. F. d. M. A")</f>
        <v>D. V. F. d. M. A</v>
      </c>
      <c r="F242" s="11" t="str">
        <f>IFERROR(__xludf.dummyfunction("""COMPUTED_VALUE"""),"03/07/2025")</f>
        <v>03/07/2025</v>
      </c>
      <c r="G242" s="11" t="str">
        <f>IFERROR(__xludf.dummyfunction("""COMPUTED_VALUE"""),"006******85")</f>
        <v>006******85</v>
      </c>
      <c r="H242" s="11" t="str">
        <f>IFERROR(__xludf.dummyfunction("""COMPUTED_VALUE"""),"INFANTIL 1")</f>
        <v>INFANTIL 1</v>
      </c>
      <c r="I242" s="12" t="str">
        <f>IFERROR(__xludf.dummyfunction("""COMPUTED_VALUE"""),"CEMEI PROFESSORA RAKELLY NOGUEIRA DO NASCIMENTO")</f>
        <v>CEMEI PROFESSORA RAKELLY NOGUEIRA DO NASCIMENTO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Height="1" spans="1:26">
      <c r="A243" s="3"/>
      <c r="B243" s="11" t="str">
        <f>IFERROR(__xludf.dummyfunction("""COMPUTED_VALUE"""),"REGIONAL 6")</f>
        <v>REGIONAL 6</v>
      </c>
      <c r="C243" s="11" t="str">
        <f>IFERROR(__xludf.dummyfunction("""COMPUTED_VALUE"""),"24/09/2026 07:34:28")</f>
        <v>24/09/2026 07:34:28</v>
      </c>
      <c r="D243" s="11" t="str">
        <f>IFERROR(__xludf.dummyfunction("""COMPUTED_VALUE"""),"5")</f>
        <v>5</v>
      </c>
      <c r="E243" s="11" t="str">
        <f>IFERROR(__xludf.dummyfunction("""COMPUTED_VALUE"""),"A. L. S. d. C")</f>
        <v>A. L. S. d. C</v>
      </c>
      <c r="F243" s="11" t="str">
        <f>IFERROR(__xludf.dummyfunction("""COMPUTED_VALUE"""),"10/09/2024")</f>
        <v>10/09/2024</v>
      </c>
      <c r="G243" s="11" t="str">
        <f>IFERROR(__xludf.dummyfunction("""COMPUTED_VALUE"""),"004******78")</f>
        <v>004******78</v>
      </c>
      <c r="H243" s="11" t="str">
        <f>IFERROR(__xludf.dummyfunction("""COMPUTED_VALUE"""),"INFANTIL 1")</f>
        <v>INFANTIL 1</v>
      </c>
      <c r="I243" s="12" t="str">
        <f>IFERROR(__xludf.dummyfunction("""COMPUTED_VALUE"""),"CEMEI PROFESSORA RAKELLY NOGUEIRA DO NASCIMENTO")</f>
        <v>CEMEI PROFESSORA RAKELLY NOGUEIRA DO NASCIMENTO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Height="1" spans="1:26">
      <c r="A244" s="3"/>
      <c r="B244" s="11" t="str">
        <f>IFERROR(__xludf.dummyfunction("""COMPUTED_VALUE"""),"REGIONAL 6")</f>
        <v>REGIONAL 6</v>
      </c>
      <c r="C244" s="11" t="str">
        <f>IFERROR(__xludf.dummyfunction("""COMPUTED_VALUE"""),"24/09/2026 10:12:12")</f>
        <v>24/09/2026 10:12:12</v>
      </c>
      <c r="D244" s="11" t="str">
        <f>IFERROR(__xludf.dummyfunction("""COMPUTED_VALUE"""),"6")</f>
        <v>6</v>
      </c>
      <c r="E244" s="11" t="str">
        <f>IFERROR(__xludf.dummyfunction("""COMPUTED_VALUE"""),"I. S. A. N")</f>
        <v>I. S. A. N</v>
      </c>
      <c r="F244" s="11" t="str">
        <f>IFERROR(__xludf.dummyfunction("""COMPUTED_VALUE"""),"01/10/2024")</f>
        <v>01/10/2024</v>
      </c>
      <c r="G244" s="11" t="str">
        <f>IFERROR(__xludf.dummyfunction("""COMPUTED_VALUE"""),"004******12")</f>
        <v>004******12</v>
      </c>
      <c r="H244" s="11" t="str">
        <f>IFERROR(__xludf.dummyfunction("""COMPUTED_VALUE"""),"INFANTIL 1")</f>
        <v>INFANTIL 1</v>
      </c>
      <c r="I244" s="12" t="str">
        <f>IFERROR(__xludf.dummyfunction("""COMPUTED_VALUE"""),"CEMEI PROFESSORA RAKELLY NOGUEIRA DO NASCIMENTO")</f>
        <v>CEMEI PROFESSORA RAKELLY NOGUEIRA DO NASCIMENTO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Height="1" spans="1:26">
      <c r="A245" s="3"/>
      <c r="B245" s="11" t="str">
        <f>IFERROR(__xludf.dummyfunction("""COMPUTED_VALUE"""),"REGIONAL 6")</f>
        <v>REGIONAL 6</v>
      </c>
      <c r="C245" s="11" t="str">
        <f>IFERROR(__xludf.dummyfunction("""COMPUTED_VALUE"""),"27/07/2026 10:15:30")</f>
        <v>27/07/2026 10:15:30</v>
      </c>
      <c r="D245" s="11" t="str">
        <f>IFERROR(__xludf.dummyfunction("""COMPUTED_VALUE"""),"1")</f>
        <v>1</v>
      </c>
      <c r="E245" s="11" t="str">
        <f>IFERROR(__xludf.dummyfunction("""COMPUTED_VALUE"""),"R. S. S. D. S")</f>
        <v>R. S. S. D. S</v>
      </c>
      <c r="F245" s="11" t="str">
        <f>IFERROR(__xludf.dummyfunction("""COMPUTED_VALUE"""),"24/09/2023")</f>
        <v>24/09/2023</v>
      </c>
      <c r="G245" s="11" t="str">
        <f>IFERROR(__xludf.dummyfunction("""COMPUTED_VALUE"""),"000******67")</f>
        <v>000******67</v>
      </c>
      <c r="H245" s="11" t="str">
        <f>IFERROR(__xludf.dummyfunction("""COMPUTED_VALUE"""),"INFANTIL 2")</f>
        <v>INFANTIL 2</v>
      </c>
      <c r="I245" s="12" t="str">
        <f>IFERROR(__xludf.dummyfunction("""COMPUTED_VALUE"""),"CEMEI PROFESSORA RAKELLY NOGUEIRA DO NASCIMENTO")</f>
        <v>CEMEI PROFESSORA RAKELLY NOGUEIRA DO NASCIMENTO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Height="1" spans="1:26">
      <c r="A246" s="3"/>
      <c r="B246" s="11" t="str">
        <f>IFERROR(__xludf.dummyfunction("""COMPUTED_VALUE"""),"REGIONAL 6")</f>
        <v>REGIONAL 6</v>
      </c>
      <c r="C246" s="11" t="str">
        <f>IFERROR(__xludf.dummyfunction("""COMPUTED_VALUE"""),"07/08/2026 13:26:09")</f>
        <v>07/08/2026 13:26:09</v>
      </c>
      <c r="D246" s="11" t="str">
        <f>IFERROR(__xludf.dummyfunction("""COMPUTED_VALUE"""),"2")</f>
        <v>2</v>
      </c>
      <c r="E246" s="11" t="str">
        <f>IFERROR(__xludf.dummyfunction("""COMPUTED_VALUE"""),"D. S. C")</f>
        <v>D. S. C</v>
      </c>
      <c r="F246" s="11" t="str">
        <f>IFERROR(__xludf.dummyfunction("""COMPUTED_VALUE"""),"08/02/2024")</f>
        <v>08/02/2024</v>
      </c>
      <c r="G246" s="11" t="str">
        <f>IFERROR(__xludf.dummyfunction("""COMPUTED_VALUE"""),"005******31")</f>
        <v>005******31</v>
      </c>
      <c r="H246" s="11" t="str">
        <f>IFERROR(__xludf.dummyfunction("""COMPUTED_VALUE"""),"INFANTIL 2")</f>
        <v>INFANTIL 2</v>
      </c>
      <c r="I246" s="12" t="str">
        <f>IFERROR(__xludf.dummyfunction("""COMPUTED_VALUE"""),"CEMEI PROFESSORA RAKELLY NOGUEIRA DO NASCIMENTO")</f>
        <v>CEMEI PROFESSORA RAKELLY NOGUEIRA DO NASCIMENTO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Height="1" spans="1:26">
      <c r="A247" s="3"/>
      <c r="B247" s="11" t="str">
        <f>IFERROR(__xludf.dummyfunction("""COMPUTED_VALUE"""),"REGIONAL 6")</f>
        <v>REGIONAL 6</v>
      </c>
      <c r="C247" s="11" t="str">
        <f>IFERROR(__xludf.dummyfunction("""COMPUTED_VALUE"""),"10/09/2026 11:00:55")</f>
        <v>10/09/2026 11:00:55</v>
      </c>
      <c r="D247" s="11" t="str">
        <f>IFERROR(__xludf.dummyfunction("""COMPUTED_VALUE"""),"3")</f>
        <v>3</v>
      </c>
      <c r="E247" s="11" t="str">
        <f>IFERROR(__xludf.dummyfunction("""COMPUTED_VALUE"""),"H. S. d. S")</f>
        <v>H. S. d. S</v>
      </c>
      <c r="F247" s="11" t="str">
        <f>IFERROR(__xludf.dummyfunction("""COMPUTED_VALUE"""),"29/07/2023")</f>
        <v>29/07/2023</v>
      </c>
      <c r="G247" s="11" t="str">
        <f>IFERROR(__xludf.dummyfunction("""COMPUTED_VALUE"""),"186******06")</f>
        <v>186******06</v>
      </c>
      <c r="H247" s="11" t="str">
        <f>IFERROR(__xludf.dummyfunction("""COMPUTED_VALUE"""),"INFANTIL 2")</f>
        <v>INFANTIL 2</v>
      </c>
      <c r="I247" s="12" t="str">
        <f>IFERROR(__xludf.dummyfunction("""COMPUTED_VALUE"""),"CEMEI PROFESSORA RAKELLY NOGUEIRA DO NASCIMENTO")</f>
        <v>CEMEI PROFESSORA RAKELLY NOGUEIRA DO NASCIMENTO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Height="1" spans="1:26">
      <c r="A248" s="3"/>
      <c r="B248" s="11" t="str">
        <f>IFERROR(__xludf.dummyfunction("""COMPUTED_VALUE"""),"REGIONAL 6")</f>
        <v>REGIONAL 6</v>
      </c>
      <c r="C248" s="11" t="str">
        <f>IFERROR(__xludf.dummyfunction("""COMPUTED_VALUE"""),"11/04/2026 18:35:35")</f>
        <v>11/04/2026 18:35:35</v>
      </c>
      <c r="D248" s="11" t="str">
        <f>IFERROR(__xludf.dummyfunction("""COMPUTED_VALUE"""),"1")</f>
        <v>1</v>
      </c>
      <c r="E248" s="11" t="str">
        <f>IFERROR(__xludf.dummyfunction("""COMPUTED_VALUE"""),"E. G. O. D. S")</f>
        <v>E. G. O. D. S</v>
      </c>
      <c r="F248" s="11" t="str">
        <f>IFERROR(__xludf.dummyfunction("""COMPUTED_VALUE"""),"24/08/2025")</f>
        <v>24/08/2025</v>
      </c>
      <c r="G248" s="11" t="str">
        <f>IFERROR(__xludf.dummyfunction("""COMPUTED_VALUE"""),"713******82")</f>
        <v>713******82</v>
      </c>
      <c r="H248" s="11" t="str">
        <f>IFERROR(__xludf.dummyfunction("""COMPUTED_VALUE"""),"INFANTIL 1")</f>
        <v>INFANTIL 1</v>
      </c>
      <c r="I248" s="12" t="str">
        <f>IFERROR(__xludf.dummyfunction("""COMPUTED_VALUE"""),"CRECHE MERCIA DE ALBUQUERQUE")</f>
        <v>CRECHE MERCIA DE ALBUQUERQUE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Height="1" spans="1:26">
      <c r="A249" s="3"/>
      <c r="B249" s="11" t="str">
        <f>IFERROR(__xludf.dummyfunction("""COMPUTED_VALUE"""),"REGIONAL 6")</f>
        <v>REGIONAL 6</v>
      </c>
      <c r="C249" s="11" t="str">
        <f>IFERROR(__xludf.dummyfunction("""COMPUTED_VALUE"""),"04/05/2026 08:16:27")</f>
        <v>04/05/2026 08:16:27</v>
      </c>
      <c r="D249" s="11" t="str">
        <f>IFERROR(__xludf.dummyfunction("""COMPUTED_VALUE"""),"2")</f>
        <v>2</v>
      </c>
      <c r="E249" s="11" t="str">
        <f>IFERROR(__xludf.dummyfunction("""COMPUTED_VALUE"""),"K. C. T. L. B")</f>
        <v>K. C. T. L. B</v>
      </c>
      <c r="F249" s="11" t="str">
        <f>IFERROR(__xludf.dummyfunction("""COMPUTED_VALUE"""),"24/08/2024")</f>
        <v>24/08/2024</v>
      </c>
      <c r="G249" s="11" t="str">
        <f>IFERROR(__xludf.dummyfunction("""COMPUTED_VALUE"""),"003******44")</f>
        <v>003******44</v>
      </c>
      <c r="H249" s="11" t="str">
        <f>IFERROR(__xludf.dummyfunction("""COMPUTED_VALUE"""),"INFANTIL 1")</f>
        <v>INFANTIL 1</v>
      </c>
      <c r="I249" s="12" t="str">
        <f>IFERROR(__xludf.dummyfunction("""COMPUTED_VALUE"""),"CRECHE MERCIA DE ALBUQUERQUE")</f>
        <v>CRECHE MERCIA DE ALBUQUERQUE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Height="1" spans="1:26">
      <c r="A250" s="3"/>
      <c r="B250" s="11" t="str">
        <f>IFERROR(__xludf.dummyfunction("""COMPUTED_VALUE"""),"REGIONAL 6")</f>
        <v>REGIONAL 6</v>
      </c>
      <c r="C250" s="11" t="str">
        <f>IFERROR(__xludf.dummyfunction("""COMPUTED_VALUE"""),"21/05/2026 14:53:13")</f>
        <v>21/05/2026 14:53:13</v>
      </c>
      <c r="D250" s="11" t="str">
        <f>IFERROR(__xludf.dummyfunction("""COMPUTED_VALUE"""),"3")</f>
        <v>3</v>
      </c>
      <c r="E250" s="11" t="str">
        <f>IFERROR(__xludf.dummyfunction("""COMPUTED_VALUE"""),"E. P. d. M. F")</f>
        <v>E. P. d. M. F</v>
      </c>
      <c r="F250" s="11" t="str">
        <f>IFERROR(__xludf.dummyfunction("""COMPUTED_VALUE"""),"30/12/2025")</f>
        <v>30/12/2025</v>
      </c>
      <c r="G250" s="11" t="str">
        <f>IFERROR(__xludf.dummyfunction("""COMPUTED_VALUE"""),"034******72")</f>
        <v>034******72</v>
      </c>
      <c r="H250" s="11" t="str">
        <f>IFERROR(__xludf.dummyfunction("""COMPUTED_VALUE"""),"INFANTIL 1")</f>
        <v>INFANTIL 1</v>
      </c>
      <c r="I250" s="12" t="str">
        <f>IFERROR(__xludf.dummyfunction("""COMPUTED_VALUE"""),"CRECHE MERCIA DE ALBUQUERQUE")</f>
        <v>CRECHE MERCIA DE ALBUQUERQUE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Height="1" spans="1:26">
      <c r="A251" s="3"/>
      <c r="B251" s="11" t="str">
        <f>IFERROR(__xludf.dummyfunction("""COMPUTED_VALUE"""),"REGIONAL 6")</f>
        <v>REGIONAL 6</v>
      </c>
      <c r="C251" s="11" t="str">
        <f>IFERROR(__xludf.dummyfunction("""COMPUTED_VALUE"""),"08/06/2026 13:47:18")</f>
        <v>08/06/2026 13:47:18</v>
      </c>
      <c r="D251" s="11" t="str">
        <f>IFERROR(__xludf.dummyfunction("""COMPUTED_VALUE"""),"4")</f>
        <v>4</v>
      </c>
      <c r="E251" s="11" t="str">
        <f>IFERROR(__xludf.dummyfunction("""COMPUTED_VALUE"""),"L. M. B. B")</f>
        <v>L. M. B. B</v>
      </c>
      <c r="F251" s="11" t="str">
        <f>IFERROR(__xludf.dummyfunction("""COMPUTED_VALUE"""),"11/02/2025")</f>
        <v>11/02/2025</v>
      </c>
      <c r="G251" s="11" t="str">
        <f>IFERROR(__xludf.dummyfunction("""COMPUTED_VALUE"""),"005******01")</f>
        <v>005******01</v>
      </c>
      <c r="H251" s="11" t="str">
        <f>IFERROR(__xludf.dummyfunction("""COMPUTED_VALUE"""),"INFANTIL 1")</f>
        <v>INFANTIL 1</v>
      </c>
      <c r="I251" s="12" t="str">
        <f>IFERROR(__xludf.dummyfunction("""COMPUTED_VALUE"""),"CRECHE MERCIA DE ALBUQUERQUE")</f>
        <v>CRECHE MERCIA DE ALBUQUERQUE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Height="1" spans="1:26">
      <c r="A252" s="3"/>
      <c r="B252" s="11" t="str">
        <f>IFERROR(__xludf.dummyfunction("""COMPUTED_VALUE"""),"REGIONAL 6")</f>
        <v>REGIONAL 6</v>
      </c>
      <c r="C252" s="11" t="str">
        <f>IFERROR(__xludf.dummyfunction("""COMPUTED_VALUE"""),"13/07/2026 14:49:27")</f>
        <v>13/07/2026 14:49:27</v>
      </c>
      <c r="D252" s="11" t="str">
        <f>IFERROR(__xludf.dummyfunction("""COMPUTED_VALUE"""),"5")</f>
        <v>5</v>
      </c>
      <c r="E252" s="11" t="str">
        <f>IFERROR(__xludf.dummyfunction("""COMPUTED_VALUE"""),"S. A. D. S. S")</f>
        <v>S. A. D. S. S</v>
      </c>
      <c r="F252" s="11" t="str">
        <f>IFERROR(__xludf.dummyfunction("""COMPUTED_VALUE"""),"30/04/2024")</f>
        <v>30/04/2024</v>
      </c>
      <c r="G252" s="11" t="str">
        <f>IFERROR(__xludf.dummyfunction("""COMPUTED_VALUE"""),"002******13")</f>
        <v>002******13</v>
      </c>
      <c r="H252" s="11" t="str">
        <f>IFERROR(__xludf.dummyfunction("""COMPUTED_VALUE"""),"INFANTIL 1")</f>
        <v>INFANTIL 1</v>
      </c>
      <c r="I252" s="12" t="str">
        <f>IFERROR(__xludf.dummyfunction("""COMPUTED_VALUE"""),"CRECHE MERCIA DE ALBUQUERQUE")</f>
        <v>CRECHE MERCIA DE ALBUQUERQUE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Height="1" spans="1:26">
      <c r="A253" s="3"/>
      <c r="B253" s="11" t="str">
        <f>IFERROR(__xludf.dummyfunction("""COMPUTED_VALUE"""),"REGIONAL 6")</f>
        <v>REGIONAL 6</v>
      </c>
      <c r="C253" s="11" t="str">
        <f>IFERROR(__xludf.dummyfunction("""COMPUTED_VALUE"""),"03/08/2026 09:52:52")</f>
        <v>03/08/2026 09:52:52</v>
      </c>
      <c r="D253" s="11" t="str">
        <f>IFERROR(__xludf.dummyfunction("""COMPUTED_VALUE"""),"6")</f>
        <v>6</v>
      </c>
      <c r="E253" s="11" t="str">
        <f>IFERROR(__xludf.dummyfunction("""COMPUTED_VALUE"""),"V. C. B")</f>
        <v>V. C. B</v>
      </c>
      <c r="F253" s="11" t="str">
        <f>IFERROR(__xludf.dummyfunction("""COMPUTED_VALUE"""),"19/08/2025")</f>
        <v>19/08/2025</v>
      </c>
      <c r="G253" s="11" t="str">
        <f>IFERROR(__xludf.dummyfunction("""COMPUTED_VALUE"""),"007******51")</f>
        <v>007******51</v>
      </c>
      <c r="H253" s="11" t="str">
        <f>IFERROR(__xludf.dummyfunction("""COMPUTED_VALUE"""),"INFANTIL 1")</f>
        <v>INFANTIL 1</v>
      </c>
      <c r="I253" s="12" t="str">
        <f>IFERROR(__xludf.dummyfunction("""COMPUTED_VALUE"""),"CRECHE MERCIA DE ALBUQUERQUE")</f>
        <v>CRECHE MERCIA DE ALBUQUERQUE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Height="1" spans="1:26">
      <c r="A254" s="3"/>
      <c r="B254" s="11" t="str">
        <f>IFERROR(__xludf.dummyfunction("""COMPUTED_VALUE"""),"REGIONAL 6")</f>
        <v>REGIONAL 6</v>
      </c>
      <c r="C254" s="11" t="str">
        <f>IFERROR(__xludf.dummyfunction("""COMPUTED_VALUE"""),"26/08/2026 17:16:19")</f>
        <v>26/08/2026 17:16:19</v>
      </c>
      <c r="D254" s="11" t="str">
        <f>IFERROR(__xludf.dummyfunction("""COMPUTED_VALUE"""),"7")</f>
        <v>7</v>
      </c>
      <c r="E254" s="11" t="str">
        <f>IFERROR(__xludf.dummyfunction("""COMPUTED_VALUE"""),"L. G. L. d. S")</f>
        <v>L. G. L. d. S</v>
      </c>
      <c r="F254" s="11" t="str">
        <f>IFERROR(__xludf.dummyfunction("""COMPUTED_VALUE"""),"15/06/2024")</f>
        <v>15/06/2024</v>
      </c>
      <c r="G254" s="11" t="str">
        <f>IFERROR(__xludf.dummyfunction("""COMPUTED_VALUE"""),"003******69")</f>
        <v>003******69</v>
      </c>
      <c r="H254" s="11" t="str">
        <f>IFERROR(__xludf.dummyfunction("""COMPUTED_VALUE"""),"INFANTIL 1")</f>
        <v>INFANTIL 1</v>
      </c>
      <c r="I254" s="12" t="str">
        <f>IFERROR(__xludf.dummyfunction("""COMPUTED_VALUE"""),"CRECHE MERCIA DE ALBUQUERQUE")</f>
        <v>CRECHE MERCIA DE ALBUQUERQUE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Height="1" spans="1:26">
      <c r="A255" s="3"/>
      <c r="B255" s="11" t="str">
        <f>IFERROR(__xludf.dummyfunction("""COMPUTED_VALUE"""),"REGIONAL 6")</f>
        <v>REGIONAL 6</v>
      </c>
      <c r="C255" s="11" t="str">
        <f>IFERROR(__xludf.dummyfunction("""COMPUTED_VALUE"""),"28/08/2026 12:21:08")</f>
        <v>28/08/2026 12:21:08</v>
      </c>
      <c r="D255" s="11" t="str">
        <f>IFERROR(__xludf.dummyfunction("""COMPUTED_VALUE"""),"8")</f>
        <v>8</v>
      </c>
      <c r="E255" s="11" t="str">
        <f>IFERROR(__xludf.dummyfunction("""COMPUTED_VALUE"""),"M. H. d. s. n")</f>
        <v>M. H. d. s. n</v>
      </c>
      <c r="F255" s="11" t="str">
        <f>IFERROR(__xludf.dummyfunction("""COMPUTED_VALUE"""),"13/01/2026")</f>
        <v>13/01/2026</v>
      </c>
      <c r="G255" s="11" t="str">
        <f>IFERROR(__xludf.dummyfunction("""COMPUTED_VALUE"""),"071******04")</f>
        <v>071******04</v>
      </c>
      <c r="H255" s="11" t="str">
        <f>IFERROR(__xludf.dummyfunction("""COMPUTED_VALUE"""),"INFANTIL 1")</f>
        <v>INFANTIL 1</v>
      </c>
      <c r="I255" s="12" t="str">
        <f>IFERROR(__xludf.dummyfunction("""COMPUTED_VALUE"""),"CRECHE MERCIA DE ALBUQUERQUE")</f>
        <v>CRECHE MERCIA DE ALBUQUERQUE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Height="1" spans="1:26">
      <c r="A256" s="3"/>
      <c r="B256" s="11" t="str">
        <f>IFERROR(__xludf.dummyfunction("""COMPUTED_VALUE"""),"REGIONAL 6")</f>
        <v>REGIONAL 6</v>
      </c>
      <c r="C256" s="11" t="str">
        <f>IFERROR(__xludf.dummyfunction("""COMPUTED_VALUE"""),"04/09/2026 16:38:23")</f>
        <v>04/09/2026 16:38:23</v>
      </c>
      <c r="D256" s="11" t="str">
        <f>IFERROR(__xludf.dummyfunction("""COMPUTED_VALUE"""),"9")</f>
        <v>9</v>
      </c>
      <c r="E256" s="11" t="str">
        <f>IFERROR(__xludf.dummyfunction("""COMPUTED_VALUE"""),"M. H. T. D. S")</f>
        <v>M. H. T. D. S</v>
      </c>
      <c r="F256" s="11" t="str">
        <f>IFERROR(__xludf.dummyfunction("""COMPUTED_VALUE"""),"19/09/2025")</f>
        <v>19/09/2025</v>
      </c>
      <c r="G256" s="11" t="str">
        <f>IFERROR(__xludf.dummyfunction("""COMPUTED_VALUE"""),"010******63")</f>
        <v>010******63</v>
      </c>
      <c r="H256" s="11" t="str">
        <f>IFERROR(__xludf.dummyfunction("""COMPUTED_VALUE"""),"INFANTIL 1")</f>
        <v>INFANTIL 1</v>
      </c>
      <c r="I256" s="12" t="str">
        <f>IFERROR(__xludf.dummyfunction("""COMPUTED_VALUE"""),"CRECHE MERCIA DE ALBUQUERQUE")</f>
        <v>CRECHE MERCIA DE ALBUQUERQUE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Height="1" spans="1:26">
      <c r="A257" s="3"/>
      <c r="B257" s="11" t="str">
        <f>IFERROR(__xludf.dummyfunction("""COMPUTED_VALUE"""),"REGIONAL 6")</f>
        <v>REGIONAL 6</v>
      </c>
      <c r="C257" s="11" t="str">
        <f>IFERROR(__xludf.dummyfunction("""COMPUTED_VALUE"""),"02/03/2026 15:50:23")</f>
        <v>02/03/2026 15:50:23</v>
      </c>
      <c r="D257" s="11" t="str">
        <f>IFERROR(__xludf.dummyfunction("""COMPUTED_VALUE"""),"1")</f>
        <v>1</v>
      </c>
      <c r="E257" s="11" t="str">
        <f>IFERROR(__xludf.dummyfunction("""COMPUTED_VALUE"""),"J. H. D. S. F")</f>
        <v>J. H. D. S. F</v>
      </c>
      <c r="F257" s="11" t="str">
        <f>IFERROR(__xludf.dummyfunction("""COMPUTED_VALUE"""),"25/07/2023")</f>
        <v>25/07/2023</v>
      </c>
      <c r="G257" s="11" t="str">
        <f>IFERROR(__xludf.dummyfunction("""COMPUTED_VALUE"""),"186******29")</f>
        <v>186******29</v>
      </c>
      <c r="H257" s="11" t="str">
        <f>IFERROR(__xludf.dummyfunction("""COMPUTED_VALUE"""),"INFANTIL 2")</f>
        <v>INFANTIL 2</v>
      </c>
      <c r="I257" s="12" t="str">
        <f>IFERROR(__xludf.dummyfunction("""COMPUTED_VALUE"""),"CRECHE MERCIA DE ALBUQUERQUE")</f>
        <v>CRECHE MERCIA DE ALBUQUERQUE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Height="1" spans="1:26">
      <c r="A258" s="3"/>
      <c r="B258" s="11" t="str">
        <f>IFERROR(__xludf.dummyfunction("""COMPUTED_VALUE"""),"REGIONAL 6")</f>
        <v>REGIONAL 6</v>
      </c>
      <c r="C258" s="11" t="str">
        <f>IFERROR(__xludf.dummyfunction("""COMPUTED_VALUE"""),"11/03/2026 07:47:14")</f>
        <v>11/03/2026 07:47:14</v>
      </c>
      <c r="D258" s="11" t="str">
        <f>IFERROR(__xludf.dummyfunction("""COMPUTED_VALUE"""),"2")</f>
        <v>2</v>
      </c>
      <c r="E258" s="11" t="str">
        <f>IFERROR(__xludf.dummyfunction("""COMPUTED_VALUE"""),"T. D. B. D. S")</f>
        <v>T. D. B. D. S</v>
      </c>
      <c r="F258" s="11" t="str">
        <f>IFERROR(__xludf.dummyfunction("""COMPUTED_VALUE"""),"22/09/2023")</f>
        <v>22/09/2023</v>
      </c>
      <c r="G258" s="11" t="str">
        <f>IFERROR(__xludf.dummyfunction("""COMPUTED_VALUE"""),"000******40")</f>
        <v>000******40</v>
      </c>
      <c r="H258" s="11" t="str">
        <f>IFERROR(__xludf.dummyfunction("""COMPUTED_VALUE"""),"INFANTIL 2")</f>
        <v>INFANTIL 2</v>
      </c>
      <c r="I258" s="12" t="str">
        <f>IFERROR(__xludf.dummyfunction("""COMPUTED_VALUE"""),"CRECHE MERCIA DE ALBUQUERQUE")</f>
        <v>CRECHE MERCIA DE ALBUQUERQUE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Height="1" spans="1:26">
      <c r="A259" s="3"/>
      <c r="B259" s="11" t="str">
        <f>IFERROR(__xludf.dummyfunction("""COMPUTED_VALUE"""),"REGIONAL 6")</f>
        <v>REGIONAL 6</v>
      </c>
      <c r="C259" s="11" t="str">
        <f>IFERROR(__xludf.dummyfunction("""COMPUTED_VALUE"""),"25/03/2026 13:04:37")</f>
        <v>25/03/2026 13:04:37</v>
      </c>
      <c r="D259" s="11" t="str">
        <f>IFERROR(__xludf.dummyfunction("""COMPUTED_VALUE"""),"3")</f>
        <v>3</v>
      </c>
      <c r="E259" s="11" t="str">
        <f>IFERROR(__xludf.dummyfunction("""COMPUTED_VALUE"""),"B. L. S. D. S")</f>
        <v>B. L. S. D. S</v>
      </c>
      <c r="F259" s="11" t="str">
        <f>IFERROR(__xludf.dummyfunction("""COMPUTED_VALUE"""),"14/10/2023")</f>
        <v>14/10/2023</v>
      </c>
      <c r="G259" s="11" t="str">
        <f>IFERROR(__xludf.dummyfunction("""COMPUTED_VALUE"""),"000******08")</f>
        <v>000******08</v>
      </c>
      <c r="H259" s="11" t="str">
        <f>IFERROR(__xludf.dummyfunction("""COMPUTED_VALUE"""),"INFANTIL 2")</f>
        <v>INFANTIL 2</v>
      </c>
      <c r="I259" s="12" t="str">
        <f>IFERROR(__xludf.dummyfunction("""COMPUTED_VALUE"""),"CRECHE MERCIA DE ALBUQUERQUE")</f>
        <v>CRECHE MERCIA DE ALBUQUERQUE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Height="1" spans="1:26">
      <c r="A260" s="3"/>
      <c r="B260" s="11" t="str">
        <f>IFERROR(__xludf.dummyfunction("""COMPUTED_VALUE"""),"REGIONAL 6")</f>
        <v>REGIONAL 6</v>
      </c>
      <c r="C260" s="11" t="str">
        <f>IFERROR(__xludf.dummyfunction("""COMPUTED_VALUE"""),"15/07/2026 09:23:58")</f>
        <v>15/07/2026 09:23:58</v>
      </c>
      <c r="D260" s="11" t="str">
        <f>IFERROR(__xludf.dummyfunction("""COMPUTED_VALUE"""),"4")</f>
        <v>4</v>
      </c>
      <c r="E260" s="11" t="str">
        <f>IFERROR(__xludf.dummyfunction("""COMPUTED_VALUE"""),"G. d. S. B")</f>
        <v>G. d. S. B</v>
      </c>
      <c r="F260" s="11" t="str">
        <f>IFERROR(__xludf.dummyfunction("""COMPUTED_VALUE"""),"01/08/2023")</f>
        <v>01/08/2023</v>
      </c>
      <c r="G260" s="11" t="str">
        <f>IFERROR(__xludf.dummyfunction("""COMPUTED_VALUE"""),"186******01")</f>
        <v>186******01</v>
      </c>
      <c r="H260" s="11" t="str">
        <f>IFERROR(__xludf.dummyfunction("""COMPUTED_VALUE"""),"INFANTIL 2")</f>
        <v>INFANTIL 2</v>
      </c>
      <c r="I260" s="12" t="str">
        <f>IFERROR(__xludf.dummyfunction("""COMPUTED_VALUE"""),"CRECHE MERCIA DE ALBUQUERQUE")</f>
        <v>CRECHE MERCIA DE ALBUQUERQUE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Height="1" spans="1:26">
      <c r="A261" s="3"/>
      <c r="B261" s="11" t="str">
        <f>IFERROR(__xludf.dummyfunction("""COMPUTED_VALUE"""),"REGIONAL 6")</f>
        <v>REGIONAL 6</v>
      </c>
      <c r="C261" s="11" t="str">
        <f>IFERROR(__xludf.dummyfunction("""COMPUTED_VALUE"""),"23/07/2026 11:19:34")</f>
        <v>23/07/2026 11:19:34</v>
      </c>
      <c r="D261" s="11" t="str">
        <f>IFERROR(__xludf.dummyfunction("""COMPUTED_VALUE"""),"5")</f>
        <v>5</v>
      </c>
      <c r="E261" s="11" t="str">
        <f>IFERROR(__xludf.dummyfunction("""COMPUTED_VALUE"""),"J. P. P. X")</f>
        <v>J. P. P. X</v>
      </c>
      <c r="F261" s="11" t="str">
        <f>IFERROR(__xludf.dummyfunction("""COMPUTED_VALUE"""),"16/03/2024")</f>
        <v>16/03/2024</v>
      </c>
      <c r="G261" s="11" t="str">
        <f>IFERROR(__xludf.dummyfunction("""COMPUTED_VALUE"""),"002******04")</f>
        <v>002******04</v>
      </c>
      <c r="H261" s="11" t="str">
        <f>IFERROR(__xludf.dummyfunction("""COMPUTED_VALUE"""),"INFANTIL 2")</f>
        <v>INFANTIL 2</v>
      </c>
      <c r="I261" s="12" t="str">
        <f>IFERROR(__xludf.dummyfunction("""COMPUTED_VALUE"""),"CRECHE MERCIA DE ALBUQUERQUE")</f>
        <v>CRECHE MERCIA DE ALBUQUERQUE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Height="1" spans="1:26">
      <c r="A262" s="3"/>
      <c r="B262" s="11" t="str">
        <f>IFERROR(__xludf.dummyfunction("""COMPUTED_VALUE"""),"REGIONAL 6")</f>
        <v>REGIONAL 6</v>
      </c>
      <c r="C262" s="11" t="str">
        <f>IFERROR(__xludf.dummyfunction("""COMPUTED_VALUE"""),"23/09/2026 16:09:51")</f>
        <v>23/09/2026 16:09:51</v>
      </c>
      <c r="D262" s="11" t="str">
        <f>IFERROR(__xludf.dummyfunction("""COMPUTED_VALUE"""),"6")</f>
        <v>6</v>
      </c>
      <c r="E262" s="11" t="str">
        <f>IFERROR(__xludf.dummyfunction("""COMPUTED_VALUE"""),"A. M. d. S. G")</f>
        <v>A. M. d. S. G</v>
      </c>
      <c r="F262" s="11" t="str">
        <f>IFERROR(__xludf.dummyfunction("""COMPUTED_VALUE"""),"07/11/2023")</f>
        <v>07/11/2023</v>
      </c>
      <c r="G262" s="11" t="str">
        <f>IFERROR(__xludf.dummyfunction("""COMPUTED_VALUE"""),"000******30")</f>
        <v>000******30</v>
      </c>
      <c r="H262" s="11" t="str">
        <f>IFERROR(__xludf.dummyfunction("""COMPUTED_VALUE"""),"INFANTIL 2")</f>
        <v>INFANTIL 2</v>
      </c>
      <c r="I262" s="12" t="str">
        <f>IFERROR(__xludf.dummyfunction("""COMPUTED_VALUE"""),"CRECHE MERCIA DE ALBUQUERQUE")</f>
        <v>CRECHE MERCIA DE ALBUQUERQUE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Height="1" spans="1:26">
      <c r="A263" s="3"/>
      <c r="B263" s="11" t="str">
        <f>IFERROR(__xludf.dummyfunction("""COMPUTED_VALUE"""),"REGIONAL 7")</f>
        <v>REGIONAL 7</v>
      </c>
      <c r="C263" s="11" t="str">
        <f>IFERROR(__xludf.dummyfunction("""COMPUTED_VALUE"""),"27/03/2026 12:51:51")</f>
        <v>27/03/2026 12:51:51</v>
      </c>
      <c r="D263" s="11" t="str">
        <f>IFERROR(__xludf.dummyfunction("""COMPUTED_VALUE"""),"2")</f>
        <v>2</v>
      </c>
      <c r="E263" s="11" t="str">
        <f>IFERROR(__xludf.dummyfunction("""COMPUTED_VALUE"""),"O. B. D. S. L")</f>
        <v>O. B. D. S. L</v>
      </c>
      <c r="F263" s="11" t="str">
        <f>IFERROR(__xludf.dummyfunction("""COMPUTED_VALUE"""),"13/11/2025")</f>
        <v>13/11/2025</v>
      </c>
      <c r="G263" s="11" t="str">
        <f>IFERROR(__xludf.dummyfunction("""COMPUTED_VALUE"""),"022******00")</f>
        <v>022******00</v>
      </c>
      <c r="H263" s="11" t="str">
        <f>IFERROR(__xludf.dummyfunction("""COMPUTED_VALUE"""),"INFANTIL 1")</f>
        <v>INFANTIL 1</v>
      </c>
      <c r="I263" s="12" t="str">
        <f>IFERROR(__xludf.dummyfunction("""COMPUTED_VALUE"""),"CEMEI DR. PAULO MENDES")</f>
        <v>CEMEI DR. PAULO MENDES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Height="1" spans="1:26">
      <c r="A264" s="3"/>
      <c r="B264" s="11" t="str">
        <f>IFERROR(__xludf.dummyfunction("""COMPUTED_VALUE"""),"REGIONAL 7")</f>
        <v>REGIONAL 7</v>
      </c>
      <c r="C264" s="11" t="str">
        <f>IFERROR(__xludf.dummyfunction("""COMPUTED_VALUE"""),"21/05/2026 11:32:39")</f>
        <v>21/05/2026 11:32:39</v>
      </c>
      <c r="D264" s="11" t="str">
        <f>IFERROR(__xludf.dummyfunction("""COMPUTED_VALUE"""),"3")</f>
        <v>3</v>
      </c>
      <c r="E264" s="11" t="str">
        <f>IFERROR(__xludf.dummyfunction("""COMPUTED_VALUE"""),"K. H. D. A. S")</f>
        <v>K. H. D. A. S</v>
      </c>
      <c r="F264" s="11" t="str">
        <f>IFERROR(__xludf.dummyfunction("""COMPUTED_VALUE"""),"01/04/2024")</f>
        <v>01/04/2024</v>
      </c>
      <c r="G264" s="11" t="str">
        <f>IFERROR(__xludf.dummyfunction("""COMPUTED_VALUE"""),"002******69")</f>
        <v>002******69</v>
      </c>
      <c r="H264" s="11" t="str">
        <f>IFERROR(__xludf.dummyfunction("""COMPUTED_VALUE"""),"INFANTIL 1")</f>
        <v>INFANTIL 1</v>
      </c>
      <c r="I264" s="12" t="str">
        <f>IFERROR(__xludf.dummyfunction("""COMPUTED_VALUE"""),"CEMEI DR. PAULO MENDES")</f>
        <v>CEMEI DR. PAULO MENDES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Height="1" spans="1:26">
      <c r="A265" s="3"/>
      <c r="B265" s="11" t="str">
        <f>IFERROR(__xludf.dummyfunction("""COMPUTED_VALUE"""),"REGIONAL 7")</f>
        <v>REGIONAL 7</v>
      </c>
      <c r="C265" s="11" t="str">
        <f>IFERROR(__xludf.dummyfunction("""COMPUTED_VALUE"""),"22/05/2026 09:22:30")</f>
        <v>22/05/2026 09:22:30</v>
      </c>
      <c r="D265" s="11" t="str">
        <f>IFERROR(__xludf.dummyfunction("""COMPUTED_VALUE"""),"4")</f>
        <v>4</v>
      </c>
      <c r="E265" s="11" t="str">
        <f>IFERROR(__xludf.dummyfunction("""COMPUTED_VALUE"""),"A. E. M. d. S")</f>
        <v>A. E. M. d. S</v>
      </c>
      <c r="F265" s="11" t="str">
        <f>IFERROR(__xludf.dummyfunction("""COMPUTED_VALUE"""),"27/07/2024")</f>
        <v>27/07/2024</v>
      </c>
      <c r="G265" s="11" t="str">
        <f>IFERROR(__xludf.dummyfunction("""COMPUTED_VALUE"""),"003******46")</f>
        <v>003******46</v>
      </c>
      <c r="H265" s="11" t="str">
        <f>IFERROR(__xludf.dummyfunction("""COMPUTED_VALUE"""),"INFANTIL 1")</f>
        <v>INFANTIL 1</v>
      </c>
      <c r="I265" s="12" t="str">
        <f>IFERROR(__xludf.dummyfunction("""COMPUTED_VALUE"""),"CEMEI DR. PAULO MENDES")</f>
        <v>CEMEI DR. PAULO MENDES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Height="1" spans="1:26">
      <c r="A266" s="3"/>
      <c r="B266" s="11" t="str">
        <f>IFERROR(__xludf.dummyfunction("""COMPUTED_VALUE"""),"REGIONAL 7")</f>
        <v>REGIONAL 7</v>
      </c>
      <c r="C266" s="11" t="str">
        <f>IFERROR(__xludf.dummyfunction("""COMPUTED_VALUE"""),"23/06/2026 09:32:02")</f>
        <v>23/06/2026 09:32:02</v>
      </c>
      <c r="D266" s="11" t="str">
        <f>IFERROR(__xludf.dummyfunction("""COMPUTED_VALUE"""),"5")</f>
        <v>5</v>
      </c>
      <c r="E266" s="11" t="str">
        <f>IFERROR(__xludf.dummyfunction("""COMPUTED_VALUE"""),"M. L. T. D. M")</f>
        <v>M. L. T. D. M</v>
      </c>
      <c r="F266" s="11" t="str">
        <f>IFERROR(__xludf.dummyfunction("""COMPUTED_VALUE"""),"25/11/2024")</f>
        <v>25/11/2024</v>
      </c>
      <c r="G266" s="11" t="str">
        <f>IFERROR(__xludf.dummyfunction("""COMPUTED_VALUE"""),"004******93")</f>
        <v>004******93</v>
      </c>
      <c r="H266" s="11" t="str">
        <f>IFERROR(__xludf.dummyfunction("""COMPUTED_VALUE"""),"INFANTIL 1")</f>
        <v>INFANTIL 1</v>
      </c>
      <c r="I266" s="12" t="str">
        <f>IFERROR(__xludf.dummyfunction("""COMPUTED_VALUE"""),"CEMEI DR. PAULO MENDES")</f>
        <v>CEMEI DR. PAULO MENDES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Height="1" spans="1:26">
      <c r="A267" s="3"/>
      <c r="B267" s="11" t="str">
        <f>IFERROR(__xludf.dummyfunction("""COMPUTED_VALUE"""),"REGIONAL 7")</f>
        <v>REGIONAL 7</v>
      </c>
      <c r="C267" s="11" t="str">
        <f>IFERROR(__xludf.dummyfunction("""COMPUTED_VALUE"""),"23/06/2026 09:36:48")</f>
        <v>23/06/2026 09:36:48</v>
      </c>
      <c r="D267" s="11" t="str">
        <f>IFERROR(__xludf.dummyfunction("""COMPUTED_VALUE"""),"6")</f>
        <v>6</v>
      </c>
      <c r="E267" s="11" t="str">
        <f>IFERROR(__xludf.dummyfunction("""COMPUTED_VALUE"""),"F. L. T. D. M")</f>
        <v>F. L. T. D. M</v>
      </c>
      <c r="F267" s="11" t="str">
        <f>IFERROR(__xludf.dummyfunction("""COMPUTED_VALUE"""),"25/11/2024")</f>
        <v>25/11/2024</v>
      </c>
      <c r="G267" s="11" t="str">
        <f>IFERROR(__xludf.dummyfunction("""COMPUTED_VALUE"""),"004******05")</f>
        <v>004******05</v>
      </c>
      <c r="H267" s="11" t="str">
        <f>IFERROR(__xludf.dummyfunction("""COMPUTED_VALUE"""),"INFANTIL 1")</f>
        <v>INFANTIL 1</v>
      </c>
      <c r="I267" s="12" t="str">
        <f>IFERROR(__xludf.dummyfunction("""COMPUTED_VALUE"""),"CEMEI DR. PAULO MENDES")</f>
        <v>CEMEI DR. PAULO MENDES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Height="1" spans="1:26">
      <c r="A268" s="3"/>
      <c r="B268" s="11" t="str">
        <f>IFERROR(__xludf.dummyfunction("""COMPUTED_VALUE"""),"REGIONAL 7")</f>
        <v>REGIONAL 7</v>
      </c>
      <c r="C268" s="11" t="str">
        <f>IFERROR(__xludf.dummyfunction("""COMPUTED_VALUE"""),"23/07/2026 04:45:19")</f>
        <v>23/07/2026 04:45:19</v>
      </c>
      <c r="D268" s="11" t="str">
        <f>IFERROR(__xludf.dummyfunction("""COMPUTED_VALUE"""),"7")</f>
        <v>7</v>
      </c>
      <c r="E268" s="11" t="str">
        <f>IFERROR(__xludf.dummyfunction("""COMPUTED_VALUE"""),"R. O. S")</f>
        <v>R. O. S</v>
      </c>
      <c r="F268" s="11" t="str">
        <f>IFERROR(__xludf.dummyfunction("""COMPUTED_VALUE"""),"17/11/2025")</f>
        <v>17/11/2025</v>
      </c>
      <c r="G268" s="11" t="str">
        <f>IFERROR(__xludf.dummyfunction("""COMPUTED_VALUE"""),"024******30")</f>
        <v>024******30</v>
      </c>
      <c r="H268" s="11" t="str">
        <f>IFERROR(__xludf.dummyfunction("""COMPUTED_VALUE"""),"INFANTIL 1")</f>
        <v>INFANTIL 1</v>
      </c>
      <c r="I268" s="12" t="str">
        <f>IFERROR(__xludf.dummyfunction("""COMPUTED_VALUE"""),"CEMEI DR. PAULO MENDES")</f>
        <v>CEMEI DR. PAULO MENDES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Height="1" spans="1:26">
      <c r="A269" s="3"/>
      <c r="B269" s="11" t="str">
        <f>IFERROR(__xludf.dummyfunction("""COMPUTED_VALUE"""),"REGIONAL 7")</f>
        <v>REGIONAL 7</v>
      </c>
      <c r="C269" s="11" t="str">
        <f>IFERROR(__xludf.dummyfunction("""COMPUTED_VALUE"""),"02/09/2026 11:53:05")</f>
        <v>02/09/2026 11:53:05</v>
      </c>
      <c r="D269" s="11" t="str">
        <f>IFERROR(__xludf.dummyfunction("""COMPUTED_VALUE"""),"8")</f>
        <v>8</v>
      </c>
      <c r="E269" s="11" t="str">
        <f>IFERROR(__xludf.dummyfunction("""COMPUTED_VALUE"""),"E. M. d. S")</f>
        <v>E. M. d. S</v>
      </c>
      <c r="F269" s="11" t="str">
        <f>IFERROR(__xludf.dummyfunction("""COMPUTED_VALUE"""),"06/07/2025")</f>
        <v>06/07/2025</v>
      </c>
      <c r="G269" s="11" t="str">
        <f>IFERROR(__xludf.dummyfunction("""COMPUTED_VALUE"""),"006******64")</f>
        <v>006******64</v>
      </c>
      <c r="H269" s="11" t="str">
        <f>IFERROR(__xludf.dummyfunction("""COMPUTED_VALUE"""),"INFANTIL 1")</f>
        <v>INFANTIL 1</v>
      </c>
      <c r="I269" s="12" t="str">
        <f>IFERROR(__xludf.dummyfunction("""COMPUTED_VALUE"""),"CEMEI DR. PAULO MENDES")</f>
        <v>CEMEI DR. PAULO MENDES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Height="1" spans="1:26">
      <c r="A270" s="3"/>
      <c r="B270" s="11" t="str">
        <f>IFERROR(__xludf.dummyfunction("""COMPUTED_VALUE"""),"REGIONAL 7")</f>
        <v>REGIONAL 7</v>
      </c>
      <c r="C270" s="11" t="str">
        <f>IFERROR(__xludf.dummyfunction("""COMPUTED_VALUE"""),"10/06/2026 11:22:14")</f>
        <v>10/06/2026 11:22:14</v>
      </c>
      <c r="D270" s="11" t="str">
        <f>IFERROR(__xludf.dummyfunction("""COMPUTED_VALUE"""),"1")</f>
        <v>1</v>
      </c>
      <c r="E270" s="11" t="str">
        <f>IFERROR(__xludf.dummyfunction("""COMPUTED_VALUE"""),"B. G. S. D. S")</f>
        <v>B. G. S. D. S</v>
      </c>
      <c r="F270" s="11" t="str">
        <f>IFERROR(__xludf.dummyfunction("""COMPUTED_VALUE"""),"10/11/2023")</f>
        <v>10/11/2023</v>
      </c>
      <c r="G270" s="11" t="str">
        <f>IFERROR(__xludf.dummyfunction("""COMPUTED_VALUE"""),"001******18")</f>
        <v>001******18</v>
      </c>
      <c r="H270" s="11" t="str">
        <f>IFERROR(__xludf.dummyfunction("""COMPUTED_VALUE"""),"INFANTIL 2")</f>
        <v>INFANTIL 2</v>
      </c>
      <c r="I270" s="12" t="str">
        <f>IFERROR(__xludf.dummyfunction("""COMPUTED_VALUE"""),"CEMEI DR. PAULO MENDES")</f>
        <v>CEMEI DR. PAULO MENDES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Height="1" spans="1:26">
      <c r="A271" s="3"/>
      <c r="B271" s="11" t="str">
        <f>IFERROR(__xludf.dummyfunction("""COMPUTED_VALUE"""),"REGIONAL 7")</f>
        <v>REGIONAL 7</v>
      </c>
      <c r="C271" s="11" t="str">
        <f>IFERROR(__xludf.dummyfunction("""COMPUTED_VALUE"""),"16/09/2026 22:07:06")</f>
        <v>16/09/2026 22:07:06</v>
      </c>
      <c r="D271" s="11" t="str">
        <f>IFERROR(__xludf.dummyfunction("""COMPUTED_VALUE"""),"2")</f>
        <v>2</v>
      </c>
      <c r="E271" s="11" t="str">
        <f>IFERROR(__xludf.dummyfunction("""COMPUTED_VALUE"""),"T. A. B. C")</f>
        <v>T. A. B. C</v>
      </c>
      <c r="F271" s="11" t="str">
        <f>IFERROR(__xludf.dummyfunction("""COMPUTED_VALUE"""),"20/09/2023")</f>
        <v>20/09/2023</v>
      </c>
      <c r="G271" s="11" t="str">
        <f>IFERROR(__xludf.dummyfunction("""COMPUTED_VALUE"""),"000******60")</f>
        <v>000******60</v>
      </c>
      <c r="H271" s="11" t="str">
        <f>IFERROR(__xludf.dummyfunction("""COMPUTED_VALUE"""),"INFANTIL 2")</f>
        <v>INFANTIL 2</v>
      </c>
      <c r="I271" s="12" t="str">
        <f>IFERROR(__xludf.dummyfunction("""COMPUTED_VALUE"""),"CEMEI DR. PAULO MENDES")</f>
        <v>CEMEI DR. PAULO MENDES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Height="1" spans="1:26">
      <c r="A272" s="3"/>
      <c r="B272" s="11" t="str">
        <f>IFERROR(__xludf.dummyfunction("""COMPUTED_VALUE"""),"REGIONAL 7")</f>
        <v>REGIONAL 7</v>
      </c>
      <c r="C272" s="11" t="str">
        <f>IFERROR(__xludf.dummyfunction("""COMPUTED_VALUE"""),"18/05/2026 09:15:19")</f>
        <v>18/05/2026 09:15:19</v>
      </c>
      <c r="D272" s="11" t="str">
        <f>IFERROR(__xludf.dummyfunction("""COMPUTED_VALUE"""),"1")</f>
        <v>1</v>
      </c>
      <c r="E272" s="11" t="str">
        <f>IFERROR(__xludf.dummyfunction("""COMPUTED_VALUE"""),"H. V. S. D")</f>
        <v>H. V. S. D</v>
      </c>
      <c r="F272" s="11" t="str">
        <f>IFERROR(__xludf.dummyfunction("""COMPUTED_VALUE"""),"11/01/2023")</f>
        <v>11/01/2023</v>
      </c>
      <c r="G272" s="11" t="str">
        <f>IFERROR(__xludf.dummyfunction("""COMPUTED_VALUE"""),"184******20")</f>
        <v>184******20</v>
      </c>
      <c r="H272" s="11" t="str">
        <f>IFERROR(__xludf.dummyfunction("""COMPUTED_VALUE"""),"INFANTIL 3")</f>
        <v>INFANTIL 3</v>
      </c>
      <c r="I272" s="12" t="str">
        <f>IFERROR(__xludf.dummyfunction("""COMPUTED_VALUE"""),"CEMEI DR. PAULO MENDES")</f>
        <v>CEMEI DR. PAULO MENDES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Height="1" spans="1:26">
      <c r="A273" s="3"/>
      <c r="B273" s="11" t="str">
        <f>IFERROR(__xludf.dummyfunction("""COMPUTED_VALUE"""),"REGIONAL 7")</f>
        <v>REGIONAL 7</v>
      </c>
      <c r="C273" s="11" t="str">
        <f>IFERROR(__xludf.dummyfunction("""COMPUTED_VALUE"""),"06/02/2026 09:17:41")</f>
        <v>06/02/2026 09:17:41</v>
      </c>
      <c r="D273" s="11" t="str">
        <f>IFERROR(__xludf.dummyfunction("""COMPUTED_VALUE"""),"1")</f>
        <v>1</v>
      </c>
      <c r="E273" s="11" t="str">
        <f>IFERROR(__xludf.dummyfunction("""COMPUTED_VALUE"""),"J. V. C. C")</f>
        <v>J. V. C. C</v>
      </c>
      <c r="F273" s="11" t="str">
        <f>IFERROR(__xludf.dummyfunction("""COMPUTED_VALUE"""),"26/03/2023")</f>
        <v>26/03/2023</v>
      </c>
      <c r="G273" s="11" t="str">
        <f>IFERROR(__xludf.dummyfunction("""COMPUTED_VALUE"""),"184******42")</f>
        <v>184******42</v>
      </c>
      <c r="H273" s="11" t="str">
        <f>IFERROR(__xludf.dummyfunction("""COMPUTED_VALUE"""),"INFANTIL 3")</f>
        <v>INFANTIL 3</v>
      </c>
      <c r="I273" s="12" t="str">
        <f>IFERROR(__xludf.dummyfunction("""COMPUTED_VALUE"""),"CEMEI ELIEL EUSTAQUIO DA SILVA")</f>
        <v>CEMEI ELIEL EUSTAQUIO DA SILVA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Height="1" spans="1:26">
      <c r="A274" s="3"/>
      <c r="B274" s="11" t="str">
        <f>IFERROR(__xludf.dummyfunction("""COMPUTED_VALUE"""),"REGIONAL 7")</f>
        <v>REGIONAL 7</v>
      </c>
      <c r="C274" s="11" t="str">
        <f>IFERROR(__xludf.dummyfunction("""COMPUTED_VALUE"""),"04/05/2026 08:16:17")</f>
        <v>04/05/2026 08:16:17</v>
      </c>
      <c r="D274" s="11" t="str">
        <f>IFERROR(__xludf.dummyfunction("""COMPUTED_VALUE"""),"2")</f>
        <v>2</v>
      </c>
      <c r="E274" s="11" t="str">
        <f>IFERROR(__xludf.dummyfunction("""COMPUTED_VALUE"""),"A. A. D. P. S")</f>
        <v>A. A. D. P. S</v>
      </c>
      <c r="F274" s="11" t="str">
        <f>IFERROR(__xludf.dummyfunction("""COMPUTED_VALUE"""),"24/12/2022")</f>
        <v>24/12/2022</v>
      </c>
      <c r="G274" s="11" t="str">
        <f>IFERROR(__xludf.dummyfunction("""COMPUTED_VALUE"""),"183******09")</f>
        <v>183******09</v>
      </c>
      <c r="H274" s="11" t="str">
        <f>IFERROR(__xludf.dummyfunction("""COMPUTED_VALUE"""),"INFANTIL 3")</f>
        <v>INFANTIL 3</v>
      </c>
      <c r="I274" s="12" t="str">
        <f>IFERROR(__xludf.dummyfunction("""COMPUTED_VALUE"""),"CEMEI ELIEL EUSTAQUIO DA SILVA")</f>
        <v>CEMEI ELIEL EUSTAQUIO DA SILVA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Height="1" spans="1:26">
      <c r="A275" s="3"/>
      <c r="B275" s="11" t="str">
        <f>IFERROR(__xludf.dummyfunction("""COMPUTED_VALUE"""),"REGIONAL 7")</f>
        <v>REGIONAL 7</v>
      </c>
      <c r="C275" s="11" t="str">
        <f>IFERROR(__xludf.dummyfunction("""COMPUTED_VALUE"""),"22/06/2026 14:09:23")</f>
        <v>22/06/2026 14:09:23</v>
      </c>
      <c r="D275" s="11" t="str">
        <f>IFERROR(__xludf.dummyfunction("""COMPUTED_VALUE"""),"3")</f>
        <v>3</v>
      </c>
      <c r="E275" s="11" t="str">
        <f>IFERROR(__xludf.dummyfunction("""COMPUTED_VALUE"""),"I. V. d. S")</f>
        <v>I. V. d. S</v>
      </c>
      <c r="F275" s="11" t="str">
        <f>IFERROR(__xludf.dummyfunction("""COMPUTED_VALUE"""),"07/04/2022")</f>
        <v>07/04/2022</v>
      </c>
      <c r="G275" s="11" t="str">
        <f>IFERROR(__xludf.dummyfunction("""COMPUTED_VALUE"""),"181******03")</f>
        <v>181******03</v>
      </c>
      <c r="H275" s="11" t="str">
        <f>IFERROR(__xludf.dummyfunction("""COMPUTED_VALUE"""),"INFANTIL 3")</f>
        <v>INFANTIL 3</v>
      </c>
      <c r="I275" s="12" t="str">
        <f>IFERROR(__xludf.dummyfunction("""COMPUTED_VALUE"""),"CEMEI ELIEL EUSTAQUIO DA SILVA")</f>
        <v>CEMEI ELIEL EUSTAQUIO DA SILVA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Height="1" spans="1:26">
      <c r="A276" s="3"/>
      <c r="B276" s="11" t="str">
        <f>IFERROR(__xludf.dummyfunction("""COMPUTED_VALUE"""),"REGIONAL 7")</f>
        <v>REGIONAL 7</v>
      </c>
      <c r="C276" s="11" t="str">
        <f>IFERROR(__xludf.dummyfunction("""COMPUTED_VALUE"""),"10/09/2026 09:46:29")</f>
        <v>10/09/2026 09:46:29</v>
      </c>
      <c r="D276" s="11" t="str">
        <f>IFERROR(__xludf.dummyfunction("""COMPUTED_VALUE"""),"4")</f>
        <v>4</v>
      </c>
      <c r="E276" s="11" t="str">
        <f>IFERROR(__xludf.dummyfunction("""COMPUTED_VALUE"""),"S. d. S. P. d. S")</f>
        <v>S. d. S. P. d. S</v>
      </c>
      <c r="F276" s="11" t="str">
        <f>IFERROR(__xludf.dummyfunction("""COMPUTED_VALUE"""),"08/10/2022")</f>
        <v>08/10/2022</v>
      </c>
      <c r="G276" s="11" t="str">
        <f>IFERROR(__xludf.dummyfunction("""COMPUTED_VALUE"""),"183******61")</f>
        <v>183******61</v>
      </c>
      <c r="H276" s="11" t="str">
        <f>IFERROR(__xludf.dummyfunction("""COMPUTED_VALUE"""),"INFANTIL 3")</f>
        <v>INFANTIL 3</v>
      </c>
      <c r="I276" s="12" t="str">
        <f>IFERROR(__xludf.dummyfunction("""COMPUTED_VALUE"""),"CEMEI ELIEL EUSTAQUIO DA SILVA")</f>
        <v>CEMEI ELIEL EUSTAQUIO DA SILVA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Height="1" spans="1:26">
      <c r="A277" s="3"/>
      <c r="B277" s="11" t="str">
        <f>IFERROR(__xludf.dummyfunction("""COMPUTED_VALUE"""),"REGIONAL 7")</f>
        <v>REGIONAL 7</v>
      </c>
      <c r="C277" s="11" t="str">
        <f>IFERROR(__xludf.dummyfunction("""COMPUTED_VALUE"""),"04/02/2026 08:52:54")</f>
        <v>04/02/2026 08:52:54</v>
      </c>
      <c r="D277" s="11" t="str">
        <f>IFERROR(__xludf.dummyfunction("""COMPUTED_VALUE"""),"1")</f>
        <v>1</v>
      </c>
      <c r="E277" s="11" t="str">
        <f>IFERROR(__xludf.dummyfunction("""COMPUTED_VALUE"""),"R. J. D. S")</f>
        <v>R. J. D. S</v>
      </c>
      <c r="F277" s="11" t="str">
        <f>IFERROR(__xludf.dummyfunction("""COMPUTED_VALUE"""),"18/04/2024")</f>
        <v>18/04/2024</v>
      </c>
      <c r="G277" s="11" t="str">
        <f>IFERROR(__xludf.dummyfunction("""COMPUTED_VALUE"""),"003******54")</f>
        <v>003******54</v>
      </c>
      <c r="H277" s="11" t="str">
        <f>IFERROR(__xludf.dummyfunction("""COMPUTED_VALUE"""),"INFANTIL 1")</f>
        <v>INFANTIL 1</v>
      </c>
      <c r="I277" s="12" t="str">
        <f>IFERROR(__xludf.dummyfunction("""COMPUTED_VALUE"""),"CEMEI PROFESSORA CIBELE DE ANDRADE MENDES DE AZEVEDO")</f>
        <v>CEMEI PROFESSORA CIBELE DE ANDRADE MENDES DE AZEVEDO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Height="1" spans="1:26">
      <c r="A278" s="3"/>
      <c r="B278" s="11" t="str">
        <f>IFERROR(__xludf.dummyfunction("""COMPUTED_VALUE"""),"REGIONAL 7")</f>
        <v>REGIONAL 7</v>
      </c>
      <c r="C278" s="11" t="str">
        <f>IFERROR(__xludf.dummyfunction("""COMPUTED_VALUE"""),"05/02/2026 12:22:17")</f>
        <v>05/02/2026 12:22:17</v>
      </c>
      <c r="D278" s="11" t="str">
        <f>IFERROR(__xludf.dummyfunction("""COMPUTED_VALUE"""),"2")</f>
        <v>2</v>
      </c>
      <c r="E278" s="11" t="str">
        <f>IFERROR(__xludf.dummyfunction("""COMPUTED_VALUE"""),"E. J. N. D. S")</f>
        <v>E. J. N. D. S</v>
      </c>
      <c r="F278" s="11" t="str">
        <f>IFERROR(__xludf.dummyfunction("""COMPUTED_VALUE"""),"12/08/2024")</f>
        <v>12/08/2024</v>
      </c>
      <c r="G278" s="11" t="str">
        <f>IFERROR(__xludf.dummyfunction("""COMPUTED_VALUE"""),"003******75")</f>
        <v>003******75</v>
      </c>
      <c r="H278" s="11" t="str">
        <f>IFERROR(__xludf.dummyfunction("""COMPUTED_VALUE"""),"INFANTIL 1")</f>
        <v>INFANTIL 1</v>
      </c>
      <c r="I278" s="12" t="str">
        <f>IFERROR(__xludf.dummyfunction("""COMPUTED_VALUE"""),"CEMEI PROFESSORA CIBELE DE ANDRADE MENDES DE AZEVEDO")</f>
        <v>CEMEI PROFESSORA CIBELE DE ANDRADE MENDES DE AZEVEDO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Height="1" spans="1:26">
      <c r="A279" s="3"/>
      <c r="B279" s="11" t="str">
        <f>IFERROR(__xludf.dummyfunction("""COMPUTED_VALUE"""),"REGIONAL 7")</f>
        <v>REGIONAL 7</v>
      </c>
      <c r="C279" s="11" t="str">
        <f>IFERROR(__xludf.dummyfunction("""COMPUTED_VALUE"""),"05/02/2026 13:29:32")</f>
        <v>05/02/2026 13:29:32</v>
      </c>
      <c r="D279" s="11" t="str">
        <f>IFERROR(__xludf.dummyfunction("""COMPUTED_VALUE"""),"3")</f>
        <v>3</v>
      </c>
      <c r="E279" s="11" t="str">
        <f>IFERROR(__xludf.dummyfunction("""COMPUTED_VALUE"""),"O. L. D. A")</f>
        <v>O. L. D. A</v>
      </c>
      <c r="F279" s="11" t="str">
        <f>IFERROR(__xludf.dummyfunction("""COMPUTED_VALUE"""),"16/05/2024")</f>
        <v>16/05/2024</v>
      </c>
      <c r="G279" s="11" t="str">
        <f>IFERROR(__xludf.dummyfunction("""COMPUTED_VALUE"""),"002******90")</f>
        <v>002******90</v>
      </c>
      <c r="H279" s="11" t="str">
        <f>IFERROR(__xludf.dummyfunction("""COMPUTED_VALUE"""),"INFANTIL 1")</f>
        <v>INFANTIL 1</v>
      </c>
      <c r="I279" s="12" t="str">
        <f>IFERROR(__xludf.dummyfunction("""COMPUTED_VALUE"""),"CEMEI PROFESSORA CIBELE DE ANDRADE MENDES DE AZEVEDO")</f>
        <v>CEMEI PROFESSORA CIBELE DE ANDRADE MENDES DE AZEVEDO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Height="1" spans="1:26">
      <c r="A280" s="3"/>
      <c r="B280" s="11" t="str">
        <f>IFERROR(__xludf.dummyfunction("""COMPUTED_VALUE"""),"REGIONAL 7")</f>
        <v>REGIONAL 7</v>
      </c>
      <c r="C280" s="11" t="str">
        <f>IFERROR(__xludf.dummyfunction("""COMPUTED_VALUE"""),"05/02/2026 15:38:24")</f>
        <v>05/02/2026 15:38:24</v>
      </c>
      <c r="D280" s="11" t="str">
        <f>IFERROR(__xludf.dummyfunction("""COMPUTED_VALUE"""),"4")</f>
        <v>4</v>
      </c>
      <c r="E280" s="11" t="str">
        <f>IFERROR(__xludf.dummyfunction("""COMPUTED_VALUE"""),"T. E. R. D. B")</f>
        <v>T. E. R. D. B</v>
      </c>
      <c r="F280" s="11" t="str">
        <f>IFERROR(__xludf.dummyfunction("""COMPUTED_VALUE"""),"19/05/2024")</f>
        <v>19/05/2024</v>
      </c>
      <c r="G280" s="11" t="str">
        <f>IFERROR(__xludf.dummyfunction("""COMPUTED_VALUE"""),"003******75")</f>
        <v>003******75</v>
      </c>
      <c r="H280" s="11" t="str">
        <f>IFERROR(__xludf.dummyfunction("""COMPUTED_VALUE"""),"INFANTIL 1")</f>
        <v>INFANTIL 1</v>
      </c>
      <c r="I280" s="12" t="str">
        <f>IFERROR(__xludf.dummyfunction("""COMPUTED_VALUE"""),"CEMEI PROFESSORA CIBELE DE ANDRADE MENDES DE AZEVEDO")</f>
        <v>CEMEI PROFESSORA CIBELE DE ANDRADE MENDES DE AZEVEDO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Height="1" spans="1:26">
      <c r="A281" s="3"/>
      <c r="B281" s="11" t="str">
        <f>IFERROR(__xludf.dummyfunction("""COMPUTED_VALUE"""),"REGIONAL 7")</f>
        <v>REGIONAL 7</v>
      </c>
      <c r="C281" s="11" t="str">
        <f>IFERROR(__xludf.dummyfunction("""COMPUTED_VALUE"""),"05/02/2026 20:35:45")</f>
        <v>05/02/2026 20:35:45</v>
      </c>
      <c r="D281" s="11" t="str">
        <f>IFERROR(__xludf.dummyfunction("""COMPUTED_VALUE"""),"5")</f>
        <v>5</v>
      </c>
      <c r="E281" s="11" t="str">
        <f>IFERROR(__xludf.dummyfunction("""COMPUTED_VALUE"""),"Y. B. D. S. A")</f>
        <v>Y. B. D. S. A</v>
      </c>
      <c r="F281" s="11" t="str">
        <f>IFERROR(__xludf.dummyfunction("""COMPUTED_VALUE"""),"14/03/2025")</f>
        <v>14/03/2025</v>
      </c>
      <c r="G281" s="11" t="str">
        <f>IFERROR(__xludf.dummyfunction("""COMPUTED_VALUE"""),"005******33")</f>
        <v>005******33</v>
      </c>
      <c r="H281" s="11" t="str">
        <f>IFERROR(__xludf.dummyfunction("""COMPUTED_VALUE"""),"INFANTIL 1")</f>
        <v>INFANTIL 1</v>
      </c>
      <c r="I281" s="12" t="str">
        <f>IFERROR(__xludf.dummyfunction("""COMPUTED_VALUE"""),"CEMEI PROFESSORA CIBELE DE ANDRADE MENDES DE AZEVEDO")</f>
        <v>CEMEI PROFESSORA CIBELE DE ANDRADE MENDES DE AZEVEDO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Height="1" spans="1:26">
      <c r="A282" s="3"/>
      <c r="B282" s="11" t="str">
        <f>IFERROR(__xludf.dummyfunction("""COMPUTED_VALUE"""),"REGIONAL 7")</f>
        <v>REGIONAL 7</v>
      </c>
      <c r="C282" s="11" t="str">
        <f>IFERROR(__xludf.dummyfunction("""COMPUTED_VALUE"""),"23/02/2026 14:03:33")</f>
        <v>23/02/2026 14:03:33</v>
      </c>
      <c r="D282" s="11" t="str">
        <f>IFERROR(__xludf.dummyfunction("""COMPUTED_VALUE"""),"6")</f>
        <v>6</v>
      </c>
      <c r="E282" s="11" t="str">
        <f>IFERROR(__xludf.dummyfunction("""COMPUTED_VALUE"""),"E. S. D. S")</f>
        <v>E. S. D. S</v>
      </c>
      <c r="F282" s="11" t="str">
        <f>IFERROR(__xludf.dummyfunction("""COMPUTED_VALUE"""),"10/04/2024")</f>
        <v>10/04/2024</v>
      </c>
      <c r="G282" s="11" t="str">
        <f>IFERROR(__xludf.dummyfunction("""COMPUTED_VALUE"""),"002******63")</f>
        <v>002******63</v>
      </c>
      <c r="H282" s="11" t="str">
        <f>IFERROR(__xludf.dummyfunction("""COMPUTED_VALUE"""),"INFANTIL 1")</f>
        <v>INFANTIL 1</v>
      </c>
      <c r="I282" s="12" t="str">
        <f>IFERROR(__xludf.dummyfunction("""COMPUTED_VALUE"""),"CEMEI PROFESSORA CIBELE DE ANDRADE MENDES DE AZEVEDO")</f>
        <v>CEMEI PROFESSORA CIBELE DE ANDRADE MENDES DE AZEVEDO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Height="1" spans="1:26">
      <c r="A283" s="3"/>
      <c r="B283" s="11" t="str">
        <f>IFERROR(__xludf.dummyfunction("""COMPUTED_VALUE"""),"REGIONAL 7")</f>
        <v>REGIONAL 7</v>
      </c>
      <c r="C283" s="11" t="str">
        <f>IFERROR(__xludf.dummyfunction("""COMPUTED_VALUE"""),"16/03/2026 10:09:54")</f>
        <v>16/03/2026 10:09:54</v>
      </c>
      <c r="D283" s="11" t="str">
        <f>IFERROR(__xludf.dummyfunction("""COMPUTED_VALUE"""),"7")</f>
        <v>7</v>
      </c>
      <c r="E283" s="11" t="str">
        <f>IFERROR(__xludf.dummyfunction("""COMPUTED_VALUE"""),"H. M. C. M. T")</f>
        <v>H. M. C. M. T</v>
      </c>
      <c r="F283" s="11" t="str">
        <f>IFERROR(__xludf.dummyfunction("""COMPUTED_VALUE"""),"15/04/2024")</f>
        <v>15/04/2024</v>
      </c>
      <c r="G283" s="11" t="str">
        <f>IFERROR(__xludf.dummyfunction("""COMPUTED_VALUE"""),"002******57")</f>
        <v>002******57</v>
      </c>
      <c r="H283" s="11" t="str">
        <f>IFERROR(__xludf.dummyfunction("""COMPUTED_VALUE"""),"INFANTIL 1")</f>
        <v>INFANTIL 1</v>
      </c>
      <c r="I283" s="12" t="str">
        <f>IFERROR(__xludf.dummyfunction("""COMPUTED_VALUE"""),"CEMEI PROFESSORA CIBELE DE ANDRADE MENDES DE AZEVEDO")</f>
        <v>CEMEI PROFESSORA CIBELE DE ANDRADE MENDES DE AZEVEDO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Height="1" spans="1:26">
      <c r="A284" s="3"/>
      <c r="B284" s="11" t="str">
        <f>IFERROR(__xludf.dummyfunction("""COMPUTED_VALUE"""),"REGIONAL 7")</f>
        <v>REGIONAL 7</v>
      </c>
      <c r="C284" s="11" t="str">
        <f>IFERROR(__xludf.dummyfunction("""COMPUTED_VALUE"""),"18/03/2026 12:28:10")</f>
        <v>18/03/2026 12:28:10</v>
      </c>
      <c r="D284" s="11" t="str">
        <f>IFERROR(__xludf.dummyfunction("""COMPUTED_VALUE"""),"8")</f>
        <v>8</v>
      </c>
      <c r="E284" s="11" t="str">
        <f>IFERROR(__xludf.dummyfunction("""COMPUTED_VALUE"""),"L. E. S. D. S")</f>
        <v>L. E. S. D. S</v>
      </c>
      <c r="F284" s="11" t="str">
        <f>IFERROR(__xludf.dummyfunction("""COMPUTED_VALUE"""),"19/01/2026")</f>
        <v>19/01/2026</v>
      </c>
      <c r="G284" s="11" t="str">
        <f>IFERROR(__xludf.dummyfunction("""COMPUTED_VALUE"""),"045******34")</f>
        <v>045******34</v>
      </c>
      <c r="H284" s="11" t="str">
        <f>IFERROR(__xludf.dummyfunction("""COMPUTED_VALUE"""),"INFANTIL 1")</f>
        <v>INFANTIL 1</v>
      </c>
      <c r="I284" s="12" t="str">
        <f>IFERROR(__xludf.dummyfunction("""COMPUTED_VALUE"""),"CEMEI PROFESSORA CIBELE DE ANDRADE MENDES DE AZEVEDO")</f>
        <v>CEMEI PROFESSORA CIBELE DE ANDRADE MENDES DE AZEVEDO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Height="1" spans="1:26">
      <c r="A285" s="3"/>
      <c r="B285" s="11" t="str">
        <f>IFERROR(__xludf.dummyfunction("""COMPUTED_VALUE"""),"REGIONAL 7")</f>
        <v>REGIONAL 7</v>
      </c>
      <c r="C285" s="11" t="str">
        <f>IFERROR(__xludf.dummyfunction("""COMPUTED_VALUE"""),"26/03/2026 18:22:32")</f>
        <v>26/03/2026 18:22:32</v>
      </c>
      <c r="D285" s="11" t="str">
        <f>IFERROR(__xludf.dummyfunction("""COMPUTED_VALUE"""),"9")</f>
        <v>9</v>
      </c>
      <c r="E285" s="11" t="str">
        <f>IFERROR(__xludf.dummyfunction("""COMPUTED_VALUE"""),"A. M. A. D. B")</f>
        <v>A. M. A. D. B</v>
      </c>
      <c r="F285" s="11" t="str">
        <f>IFERROR(__xludf.dummyfunction("""COMPUTED_VALUE"""),"20/11/2024")</f>
        <v>20/11/2024</v>
      </c>
      <c r="G285" s="11" t="str">
        <f>IFERROR(__xludf.dummyfunction("""COMPUTED_VALUE"""),"004******56")</f>
        <v>004******56</v>
      </c>
      <c r="H285" s="11" t="str">
        <f>IFERROR(__xludf.dummyfunction("""COMPUTED_VALUE"""),"INFANTIL 1")</f>
        <v>INFANTIL 1</v>
      </c>
      <c r="I285" s="12" t="str">
        <f>IFERROR(__xludf.dummyfunction("""COMPUTED_VALUE"""),"CEMEI PROFESSORA CIBELE DE ANDRADE MENDES DE AZEVEDO")</f>
        <v>CEMEI PROFESSORA CIBELE DE ANDRADE MENDES DE AZEVEDO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Height="1" spans="1:26">
      <c r="A286" s="3"/>
      <c r="B286" s="11" t="str">
        <f>IFERROR(__xludf.dummyfunction("""COMPUTED_VALUE"""),"REGIONAL 7")</f>
        <v>REGIONAL 7</v>
      </c>
      <c r="C286" s="11" t="str">
        <f>IFERROR(__xludf.dummyfunction("""COMPUTED_VALUE"""),"29/04/2026 15:44:18")</f>
        <v>29/04/2026 15:44:18</v>
      </c>
      <c r="D286" s="11" t="str">
        <f>IFERROR(__xludf.dummyfunction("""COMPUTED_VALUE"""),"10")</f>
        <v>10</v>
      </c>
      <c r="E286" s="11" t="str">
        <f>IFERROR(__xludf.dummyfunction("""COMPUTED_VALUE"""),"A. S. C. D. L")</f>
        <v>A. S. C. D. L</v>
      </c>
      <c r="F286" s="11" t="str">
        <f>IFERROR(__xludf.dummyfunction("""COMPUTED_VALUE"""),"06/05/2025")</f>
        <v>06/05/2025</v>
      </c>
      <c r="G286" s="11" t="str">
        <f>IFERROR(__xludf.dummyfunction("""COMPUTED_VALUE"""),"006******16")</f>
        <v>006******16</v>
      </c>
      <c r="H286" s="11" t="str">
        <f>IFERROR(__xludf.dummyfunction("""COMPUTED_VALUE"""),"INFANTIL 1")</f>
        <v>INFANTIL 1</v>
      </c>
      <c r="I286" s="12" t="str">
        <f>IFERROR(__xludf.dummyfunction("""COMPUTED_VALUE"""),"CEMEI PROFESSORA CIBELE DE ANDRADE MENDES DE AZEVEDO")</f>
        <v>CEMEI PROFESSORA CIBELE DE ANDRADE MENDES DE AZEVEDO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Height="1" spans="1:26">
      <c r="A287" s="3"/>
      <c r="B287" s="11" t="str">
        <f>IFERROR(__xludf.dummyfunction("""COMPUTED_VALUE"""),"REGIONAL 7")</f>
        <v>REGIONAL 7</v>
      </c>
      <c r="C287" s="11" t="str">
        <f>IFERROR(__xludf.dummyfunction("""COMPUTED_VALUE"""),"19/05/2026 10:34:49")</f>
        <v>19/05/2026 10:34:49</v>
      </c>
      <c r="D287" s="11" t="str">
        <f>IFERROR(__xludf.dummyfunction("""COMPUTED_VALUE"""),"11")</f>
        <v>11</v>
      </c>
      <c r="E287" s="11" t="str">
        <f>IFERROR(__xludf.dummyfunction("""COMPUTED_VALUE"""),"H. C. C")</f>
        <v>H. C. C</v>
      </c>
      <c r="F287" s="11" t="str">
        <f>IFERROR(__xludf.dummyfunction("""COMPUTED_VALUE"""),"25/10/2025")</f>
        <v>25/10/2025</v>
      </c>
      <c r="G287" s="11" t="str">
        <f>IFERROR(__xludf.dummyfunction("""COMPUTED_VALUE"""),"017******72")</f>
        <v>017******72</v>
      </c>
      <c r="H287" s="11" t="str">
        <f>IFERROR(__xludf.dummyfunction("""COMPUTED_VALUE"""),"INFANTIL 1")</f>
        <v>INFANTIL 1</v>
      </c>
      <c r="I287" s="12" t="str">
        <f>IFERROR(__xludf.dummyfunction("""COMPUTED_VALUE"""),"CEMEI PROFESSORA CIBELE DE ANDRADE MENDES DE AZEVEDO")</f>
        <v>CEMEI PROFESSORA CIBELE DE ANDRADE MENDES DE AZEVEDO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Height="1" spans="1:26">
      <c r="A288" s="3"/>
      <c r="B288" s="11" t="str">
        <f>IFERROR(__xludf.dummyfunction("""COMPUTED_VALUE"""),"REGIONAL 7")</f>
        <v>REGIONAL 7</v>
      </c>
      <c r="C288" s="11" t="str">
        <f>IFERROR(__xludf.dummyfunction("""COMPUTED_VALUE"""),"25/05/2026 18:01:52")</f>
        <v>25/05/2026 18:01:52</v>
      </c>
      <c r="D288" s="11" t="str">
        <f>IFERROR(__xludf.dummyfunction("""COMPUTED_VALUE"""),"12")</f>
        <v>12</v>
      </c>
      <c r="E288" s="11" t="str">
        <f>IFERROR(__xludf.dummyfunction("""COMPUTED_VALUE"""),"N. U. A. d. S")</f>
        <v>N. U. A. d. S</v>
      </c>
      <c r="F288" s="11" t="str">
        <f>IFERROR(__xludf.dummyfunction("""COMPUTED_VALUE"""),"15/04/2025")</f>
        <v>15/04/2025</v>
      </c>
      <c r="G288" s="11" t="str">
        <f>IFERROR(__xludf.dummyfunction("""COMPUTED_VALUE"""),"005******36")</f>
        <v>005******36</v>
      </c>
      <c r="H288" s="11" t="str">
        <f>IFERROR(__xludf.dummyfunction("""COMPUTED_VALUE"""),"INFANTIL 1")</f>
        <v>INFANTIL 1</v>
      </c>
      <c r="I288" s="12" t="str">
        <f>IFERROR(__xludf.dummyfunction("""COMPUTED_VALUE"""),"CEMEI PROFESSORA CIBELE DE ANDRADE MENDES DE AZEVEDO")</f>
        <v>CEMEI PROFESSORA CIBELE DE ANDRADE MENDES DE AZEVEDO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Height="1" spans="1:26">
      <c r="A289" s="3"/>
      <c r="B289" s="11" t="str">
        <f>IFERROR(__xludf.dummyfunction("""COMPUTED_VALUE"""),"REGIONAL 7")</f>
        <v>REGIONAL 7</v>
      </c>
      <c r="C289" s="11" t="str">
        <f>IFERROR(__xludf.dummyfunction("""COMPUTED_VALUE"""),"10/07/2026 10:10:23")</f>
        <v>10/07/2026 10:10:23</v>
      </c>
      <c r="D289" s="11" t="str">
        <f>IFERROR(__xludf.dummyfunction("""COMPUTED_VALUE"""),"13")</f>
        <v>13</v>
      </c>
      <c r="E289" s="11" t="str">
        <f>IFERROR(__xludf.dummyfunction("""COMPUTED_VALUE"""),"C. r. d. s. F")</f>
        <v>C. r. d. s. F</v>
      </c>
      <c r="F289" s="11" t="str">
        <f>IFERROR(__xludf.dummyfunction("""COMPUTED_VALUE"""),"31/08/2024")</f>
        <v>31/08/2024</v>
      </c>
      <c r="G289" s="11" t="str">
        <f>IFERROR(__xludf.dummyfunction("""COMPUTED_VALUE"""),"004******57")</f>
        <v>004******57</v>
      </c>
      <c r="H289" s="11" t="str">
        <f>IFERROR(__xludf.dummyfunction("""COMPUTED_VALUE"""),"INFANTIL 1")</f>
        <v>INFANTIL 1</v>
      </c>
      <c r="I289" s="12" t="str">
        <f>IFERROR(__xludf.dummyfunction("""COMPUTED_VALUE"""),"CEMEI PROFESSORA CIBELE DE ANDRADE MENDES DE AZEVEDO")</f>
        <v>CEMEI PROFESSORA CIBELE DE ANDRADE MENDES DE AZEVEDO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Height="1" spans="1:26">
      <c r="A290" s="3"/>
      <c r="B290" s="11" t="str">
        <f>IFERROR(__xludf.dummyfunction("""COMPUTED_VALUE"""),"REGIONAL 7")</f>
        <v>REGIONAL 7</v>
      </c>
      <c r="C290" s="11" t="str">
        <f>IFERROR(__xludf.dummyfunction("""COMPUTED_VALUE"""),"07/08/2026 09:49:30")</f>
        <v>07/08/2026 09:49:30</v>
      </c>
      <c r="D290" s="11" t="str">
        <f>IFERROR(__xludf.dummyfunction("""COMPUTED_VALUE"""),"14")</f>
        <v>14</v>
      </c>
      <c r="E290" s="11" t="str">
        <f>IFERROR(__xludf.dummyfunction("""COMPUTED_VALUE"""),"P. M. v. d. S")</f>
        <v>P. M. v. d. S</v>
      </c>
      <c r="F290" s="11" t="str">
        <f>IFERROR(__xludf.dummyfunction("""COMPUTED_VALUE"""),"28/11/2024")</f>
        <v>28/11/2024</v>
      </c>
      <c r="G290" s="11" t="str">
        <f>IFERROR(__xludf.dummyfunction("""COMPUTED_VALUE"""),"004******35")</f>
        <v>004******35</v>
      </c>
      <c r="H290" s="11" t="str">
        <f>IFERROR(__xludf.dummyfunction("""COMPUTED_VALUE"""),"INFANTIL 1")</f>
        <v>INFANTIL 1</v>
      </c>
      <c r="I290" s="12" t="str">
        <f>IFERROR(__xludf.dummyfunction("""COMPUTED_VALUE"""),"CEMEI PROFESSORA CIBELE DE ANDRADE MENDES DE AZEVEDO")</f>
        <v>CEMEI PROFESSORA CIBELE DE ANDRADE MENDES DE AZEVEDO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Height="1" spans="1:26">
      <c r="A291" s="3"/>
      <c r="B291" s="11" t="str">
        <f>IFERROR(__xludf.dummyfunction("""COMPUTED_VALUE"""),"REGIONAL 7")</f>
        <v>REGIONAL 7</v>
      </c>
      <c r="C291" s="11" t="str">
        <f>IFERROR(__xludf.dummyfunction("""COMPUTED_VALUE"""),"13/08/2026 11:11:04")</f>
        <v>13/08/2026 11:11:04</v>
      </c>
      <c r="D291" s="11" t="str">
        <f>IFERROR(__xludf.dummyfunction("""COMPUTED_VALUE"""),"15")</f>
        <v>15</v>
      </c>
      <c r="E291" s="11" t="str">
        <f>IFERROR(__xludf.dummyfunction("""COMPUTED_VALUE"""),"A. L. D. M. S")</f>
        <v>A. L. D. M. S</v>
      </c>
      <c r="F291" s="11" t="str">
        <f>IFERROR(__xludf.dummyfunction("""COMPUTED_VALUE"""),"08/12/2025")</f>
        <v>08/12/2025</v>
      </c>
      <c r="G291" s="11" t="str">
        <f>IFERROR(__xludf.dummyfunction("""COMPUTED_VALUE"""),"033******68")</f>
        <v>033******68</v>
      </c>
      <c r="H291" s="11" t="str">
        <f>IFERROR(__xludf.dummyfunction("""COMPUTED_VALUE"""),"INFANTIL 1")</f>
        <v>INFANTIL 1</v>
      </c>
      <c r="I291" s="12" t="str">
        <f>IFERROR(__xludf.dummyfunction("""COMPUTED_VALUE"""),"CEMEI PROFESSORA CIBELE DE ANDRADE MENDES DE AZEVEDO")</f>
        <v>CEMEI PROFESSORA CIBELE DE ANDRADE MENDES DE AZEVEDO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Height="1" spans="1:26">
      <c r="A292" s="3"/>
      <c r="B292" s="11" t="str">
        <f>IFERROR(__xludf.dummyfunction("""COMPUTED_VALUE"""),"REGIONAL 7")</f>
        <v>REGIONAL 7</v>
      </c>
      <c r="C292" s="11" t="str">
        <f>IFERROR(__xludf.dummyfunction("""COMPUTED_VALUE"""),"25/05/2026 18:09:35")</f>
        <v>25/05/2026 18:09:35</v>
      </c>
      <c r="D292" s="11" t="str">
        <f>IFERROR(__xludf.dummyfunction("""COMPUTED_VALUE"""),"1")</f>
        <v>1</v>
      </c>
      <c r="E292" s="11" t="str">
        <f>IFERROR(__xludf.dummyfunction("""COMPUTED_VALUE"""),"A. G. A. T. d. s")</f>
        <v>A. G. A. T. d. s</v>
      </c>
      <c r="F292" s="11" t="str">
        <f>IFERROR(__xludf.dummyfunction("""COMPUTED_VALUE"""),"29/02/2024")</f>
        <v>29/02/2024</v>
      </c>
      <c r="G292" s="11" t="str">
        <f>IFERROR(__xludf.dummyfunction("""COMPUTED_VALUE"""),"002******20")</f>
        <v>002******20</v>
      </c>
      <c r="H292" s="11" t="str">
        <f>IFERROR(__xludf.dummyfunction("""COMPUTED_VALUE"""),"INFANTIL 2")</f>
        <v>INFANTIL 2</v>
      </c>
      <c r="I292" s="12" t="str">
        <f>IFERROR(__xludf.dummyfunction("""COMPUTED_VALUE"""),"CEMEI PROFESSORA CIBELE DE ANDRADE MENDES DE AZEVEDO")</f>
        <v>CEMEI PROFESSORA CIBELE DE ANDRADE MENDES DE AZEVEDO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Height="1" spans="1:26">
      <c r="A293" s="3"/>
      <c r="B293" s="11" t="str">
        <f>IFERROR(__xludf.dummyfunction("""COMPUTED_VALUE"""),"REGIONAL 7")</f>
        <v>REGIONAL 7</v>
      </c>
      <c r="C293" s="11" t="str">
        <f>IFERROR(__xludf.dummyfunction("""COMPUTED_VALUE"""),"15/07/2026 09:23:39")</f>
        <v>15/07/2026 09:23:39</v>
      </c>
      <c r="D293" s="11" t="str">
        <f>IFERROR(__xludf.dummyfunction("""COMPUTED_VALUE"""),"2")</f>
        <v>2</v>
      </c>
      <c r="E293" s="11" t="str">
        <f>IFERROR(__xludf.dummyfunction("""COMPUTED_VALUE"""),"K. L. d. S")</f>
        <v>K. L. d. S</v>
      </c>
      <c r="F293" s="11" t="str">
        <f>IFERROR(__xludf.dummyfunction("""COMPUTED_VALUE"""),"18/09/2023")</f>
        <v>18/09/2023</v>
      </c>
      <c r="G293" s="11" t="str">
        <f>IFERROR(__xludf.dummyfunction("""COMPUTED_VALUE"""),"186******37")</f>
        <v>186******37</v>
      </c>
      <c r="H293" s="11" t="str">
        <f>IFERROR(__xludf.dummyfunction("""COMPUTED_VALUE"""),"INFANTIL 2")</f>
        <v>INFANTIL 2</v>
      </c>
      <c r="I293" s="12" t="str">
        <f>IFERROR(__xludf.dummyfunction("""COMPUTED_VALUE"""),"CEMEI PROFESSORA CIBELE DE ANDRADE MENDES DE AZEVEDO")</f>
        <v>CEMEI PROFESSORA CIBELE DE ANDRADE MENDES DE AZEVEDO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Height="1" spans="1:26">
      <c r="A294" s="3"/>
      <c r="B294" s="11" t="str">
        <f>IFERROR(__xludf.dummyfunction("""COMPUTED_VALUE"""),"REGIONAL 7")</f>
        <v>REGIONAL 7</v>
      </c>
      <c r="C294" s="11" t="str">
        <f>IFERROR(__xludf.dummyfunction("""COMPUTED_VALUE"""),"15/07/2026 09:23:44")</f>
        <v>15/07/2026 09:23:44</v>
      </c>
      <c r="D294" s="11" t="str">
        <f>IFERROR(__xludf.dummyfunction("""COMPUTED_VALUE"""),"3")</f>
        <v>3</v>
      </c>
      <c r="E294" s="11" t="str">
        <f>IFERROR(__xludf.dummyfunction("""COMPUTED_VALUE"""),"M. r. d. A")</f>
        <v>M. r. d. A</v>
      </c>
      <c r="F294" s="11" t="str">
        <f>IFERROR(__xludf.dummyfunction("""COMPUTED_VALUE"""),"19/09/2023")</f>
        <v>19/09/2023</v>
      </c>
      <c r="G294" s="11" t="str">
        <f>IFERROR(__xludf.dummyfunction("""COMPUTED_VALUE"""),"001******84")</f>
        <v>001******84</v>
      </c>
      <c r="H294" s="11" t="str">
        <f>IFERROR(__xludf.dummyfunction("""COMPUTED_VALUE"""),"INFANTIL 2")</f>
        <v>INFANTIL 2</v>
      </c>
      <c r="I294" s="12" t="str">
        <f>IFERROR(__xludf.dummyfunction("""COMPUTED_VALUE"""),"CEMEI PROFESSORA CIBELE DE ANDRADE MENDES DE AZEVEDO")</f>
        <v>CEMEI PROFESSORA CIBELE DE ANDRADE MENDES DE AZEVEDO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Height="1" spans="1:26">
      <c r="A295" s="3"/>
      <c r="B295" s="11" t="str">
        <f>IFERROR(__xludf.dummyfunction("""COMPUTED_VALUE"""),"REGIONAL 7")</f>
        <v>REGIONAL 7</v>
      </c>
      <c r="C295" s="11" t="str">
        <f>IFERROR(__xludf.dummyfunction("""COMPUTED_VALUE"""),"10/08/2026 08:46:38")</f>
        <v>10/08/2026 08:46:38</v>
      </c>
      <c r="D295" s="11" t="str">
        <f>IFERROR(__xludf.dummyfunction("""COMPUTED_VALUE"""),"4")</f>
        <v>4</v>
      </c>
      <c r="E295" s="11" t="str">
        <f>IFERROR(__xludf.dummyfunction("""COMPUTED_VALUE"""),"M. I. F. G")</f>
        <v>M. I. F. G</v>
      </c>
      <c r="F295" s="11" t="str">
        <f>IFERROR(__xludf.dummyfunction("""COMPUTED_VALUE"""),"07/08/2023")</f>
        <v>07/08/2023</v>
      </c>
      <c r="G295" s="11" t="str">
        <f>IFERROR(__xludf.dummyfunction("""COMPUTED_VALUE"""),"186******57")</f>
        <v>186******57</v>
      </c>
      <c r="H295" s="11" t="str">
        <f>IFERROR(__xludf.dummyfunction("""COMPUTED_VALUE"""),"INFANTIL 2")</f>
        <v>INFANTIL 2</v>
      </c>
      <c r="I295" s="12" t="str">
        <f>IFERROR(__xludf.dummyfunction("""COMPUTED_VALUE"""),"CEMEI PROFESSORA CIBELE DE ANDRADE MENDES DE AZEVEDO")</f>
        <v>CEMEI PROFESSORA CIBELE DE ANDRADE MENDES DE AZEVEDO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Height="1" spans="1:26">
      <c r="A296" s="3"/>
      <c r="B296" s="11" t="str">
        <f>IFERROR(__xludf.dummyfunction("""COMPUTED_VALUE"""),"REGIONAL 7")</f>
        <v>REGIONAL 7</v>
      </c>
      <c r="C296" s="11" t="str">
        <f>IFERROR(__xludf.dummyfunction("""COMPUTED_VALUE"""),"09/03/2026 13:36:35")</f>
        <v>09/03/2026 13:36:35</v>
      </c>
      <c r="D296" s="11" t="str">
        <f>IFERROR(__xludf.dummyfunction("""COMPUTED_VALUE"""),"1")</f>
        <v>1</v>
      </c>
      <c r="E296" s="11" t="str">
        <f>IFERROR(__xludf.dummyfunction("""COMPUTED_VALUE"""),"B. M")</f>
        <v>B. M</v>
      </c>
      <c r="F296" s="11" t="str">
        <f>IFERROR(__xludf.dummyfunction("""COMPUTED_VALUE"""),"07/02/2023")</f>
        <v>07/02/2023</v>
      </c>
      <c r="G296" s="11" t="str">
        <f>IFERROR(__xludf.dummyfunction("""COMPUTED_VALUE"""),"006******11")</f>
        <v>006******11</v>
      </c>
      <c r="H296" s="11" t="str">
        <f>IFERROR(__xludf.dummyfunction("""COMPUTED_VALUE"""),"INFANTIL 3")</f>
        <v>INFANTIL 3</v>
      </c>
      <c r="I296" s="12" t="str">
        <f>IFERROR(__xludf.dummyfunction("""COMPUTED_VALUE"""),"CEMEI PROFESSORA CIBELE DE ANDRADE MENDES DE AZEVEDO")</f>
        <v>CEMEI PROFESSORA CIBELE DE ANDRADE MENDES DE AZEVEDO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Height="1" spans="1:26">
      <c r="A297" s="3"/>
      <c r="B297" s="11" t="str">
        <f>IFERROR(__xludf.dummyfunction("""COMPUTED_VALUE"""),"REGIONAL 7")</f>
        <v>REGIONAL 7</v>
      </c>
      <c r="C297" s="11" t="str">
        <f>IFERROR(__xludf.dummyfunction("""COMPUTED_VALUE"""),"23/04/2026 10:57:36")</f>
        <v>23/04/2026 10:57:36</v>
      </c>
      <c r="D297" s="11" t="str">
        <f>IFERROR(__xludf.dummyfunction("""COMPUTED_VALUE"""),"2")</f>
        <v>2</v>
      </c>
      <c r="E297" s="11" t="str">
        <f>IFERROR(__xludf.dummyfunction("""COMPUTED_VALUE"""),"A. V. S. D. S")</f>
        <v>A. V. S. D. S</v>
      </c>
      <c r="F297" s="11" t="str">
        <f>IFERROR(__xludf.dummyfunction("""COMPUTED_VALUE"""),"18/11/2022")</f>
        <v>18/11/2022</v>
      </c>
      <c r="G297" s="11" t="str">
        <f>IFERROR(__xludf.dummyfunction("""COMPUTED_VALUE"""),"183******13")</f>
        <v>183******13</v>
      </c>
      <c r="H297" s="11" t="str">
        <f>IFERROR(__xludf.dummyfunction("""COMPUTED_VALUE"""),"INFANTIL 3")</f>
        <v>INFANTIL 3</v>
      </c>
      <c r="I297" s="12" t="str">
        <f>IFERROR(__xludf.dummyfunction("""COMPUTED_VALUE"""),"CEMEI PROFESSORA CIBELE DE ANDRADE MENDES DE AZEVEDO")</f>
        <v>CEMEI PROFESSORA CIBELE DE ANDRADE MENDES DE AZEVEDO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Height="1" spans="1:26">
      <c r="A298" s="3"/>
      <c r="B298" s="11" t="str">
        <f>IFERROR(__xludf.dummyfunction("""COMPUTED_VALUE"""),"REGIONAL 7")</f>
        <v>REGIONAL 7</v>
      </c>
      <c r="C298" s="11" t="str">
        <f>IFERROR(__xludf.dummyfunction("""COMPUTED_VALUE"""),"13/05/2026 10:59:27")</f>
        <v>13/05/2026 10:59:27</v>
      </c>
      <c r="D298" s="11" t="str">
        <f>IFERROR(__xludf.dummyfunction("""COMPUTED_VALUE"""),"3")</f>
        <v>3</v>
      </c>
      <c r="E298" s="11" t="str">
        <f>IFERROR(__xludf.dummyfunction("""COMPUTED_VALUE"""),"R. L. D. S. M")</f>
        <v>R. L. D. S. M</v>
      </c>
      <c r="F298" s="11" t="str">
        <f>IFERROR(__xludf.dummyfunction("""COMPUTED_VALUE"""),"21/09/2022")</f>
        <v>21/09/2022</v>
      </c>
      <c r="G298" s="11" t="str">
        <f>IFERROR(__xludf.dummyfunction("""COMPUTED_VALUE"""),"182******16")</f>
        <v>182******16</v>
      </c>
      <c r="H298" s="11" t="str">
        <f>IFERROR(__xludf.dummyfunction("""COMPUTED_VALUE"""),"INFANTIL 3")</f>
        <v>INFANTIL 3</v>
      </c>
      <c r="I298" s="12" t="str">
        <f>IFERROR(__xludf.dummyfunction("""COMPUTED_VALUE"""),"CEMEI PROFESSORA CIBELE DE ANDRADE MENDES DE AZEVEDO")</f>
        <v>CEMEI PROFESSORA CIBELE DE ANDRADE MENDES DE AZEVEDO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Height="1" spans="1:26">
      <c r="A299" s="3"/>
      <c r="B299" s="11" t="str">
        <f>IFERROR(__xludf.dummyfunction("""COMPUTED_VALUE"""),"REGIONAL 7")</f>
        <v>REGIONAL 7</v>
      </c>
      <c r="C299" s="11" t="str">
        <f>IFERROR(__xludf.dummyfunction("""COMPUTED_VALUE"""),"05/02/2026 23:06:26")</f>
        <v>05/02/2026 23:06:26</v>
      </c>
      <c r="D299" s="11" t="str">
        <f>IFERROR(__xludf.dummyfunction("""COMPUTED_VALUE"""),"1")</f>
        <v>1</v>
      </c>
      <c r="E299" s="11" t="str">
        <f>IFERROR(__xludf.dummyfunction("""COMPUTED_VALUE"""),"L. S. S")</f>
        <v>L. S. S</v>
      </c>
      <c r="F299" s="11" t="str">
        <f>IFERROR(__xludf.dummyfunction("""COMPUTED_VALUE"""),"27/04/2025")</f>
        <v>27/04/2025</v>
      </c>
      <c r="G299" s="11" t="str">
        <f>IFERROR(__xludf.dummyfunction("""COMPUTED_VALUE"""),"017******91")</f>
        <v>017******91</v>
      </c>
      <c r="H299" s="11" t="str">
        <f>IFERROR(__xludf.dummyfunction("""COMPUTED_VALUE"""),"INFANTIL 1")</f>
        <v>INFANTIL 1</v>
      </c>
      <c r="I299" s="12" t="str">
        <f>IFERROR(__xludf.dummyfunction("""COMPUTED_VALUE"""),"CRECHE MUNICIPAL PROFESSORA SILVIA CRISTINA SANTOS BOTELHO")</f>
        <v>CRECHE MUNICIPAL PROFESSORA SILVIA CRISTINA SANTOS BOTELHO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Height="1" spans="1:26">
      <c r="A300" s="3"/>
      <c r="B300" s="11" t="str">
        <f>IFERROR(__xludf.dummyfunction("""COMPUTED_VALUE"""),"REGIONAL 7")</f>
        <v>REGIONAL 7</v>
      </c>
      <c r="C300" s="11" t="str">
        <f>IFERROR(__xludf.dummyfunction("""COMPUTED_VALUE"""),"27/03/2026 15:45:11")</f>
        <v>27/03/2026 15:45:11</v>
      </c>
      <c r="D300" s="11" t="str">
        <f>IFERROR(__xludf.dummyfunction("""COMPUTED_VALUE"""),"2")</f>
        <v>2</v>
      </c>
      <c r="E300" s="11" t="str">
        <f>IFERROR(__xludf.dummyfunction("""COMPUTED_VALUE"""),"A. M. D. S. V")</f>
        <v>A. M. D. S. V</v>
      </c>
      <c r="F300" s="11" t="str">
        <f>IFERROR(__xludf.dummyfunction("""COMPUTED_VALUE"""),"12/10/2024")</f>
        <v>12/10/2024</v>
      </c>
      <c r="G300" s="11" t="str">
        <f>IFERROR(__xludf.dummyfunction("""COMPUTED_VALUE"""),"004******00")</f>
        <v>004******00</v>
      </c>
      <c r="H300" s="11" t="str">
        <f>IFERROR(__xludf.dummyfunction("""COMPUTED_VALUE"""),"INFANTIL 1")</f>
        <v>INFANTIL 1</v>
      </c>
      <c r="I300" s="12" t="str">
        <f>IFERROR(__xludf.dummyfunction("""COMPUTED_VALUE"""),"CRECHE MUNICIPAL PROFESSORA SILVIA CRISTINA SANTOS BOTELHO")</f>
        <v>CRECHE MUNICIPAL PROFESSORA SILVIA CRISTINA SANTOS BOTELHO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Height="1" spans="1:26">
      <c r="A301" s="3"/>
      <c r="B301" s="11" t="str">
        <f>IFERROR(__xludf.dummyfunction("""COMPUTED_VALUE"""),"REGIONAL 7")</f>
        <v>REGIONAL 7</v>
      </c>
      <c r="C301" s="11" t="str">
        <f>IFERROR(__xludf.dummyfunction("""COMPUTED_VALUE"""),"15/04/2026 22:22:20")</f>
        <v>15/04/2026 22:22:20</v>
      </c>
      <c r="D301" s="11" t="str">
        <f>IFERROR(__xludf.dummyfunction("""COMPUTED_VALUE"""),"3")</f>
        <v>3</v>
      </c>
      <c r="E301" s="11" t="str">
        <f>IFERROR(__xludf.dummyfunction("""COMPUTED_VALUE"""),"I. E. D. S")</f>
        <v>I. E. D. S</v>
      </c>
      <c r="F301" s="11" t="str">
        <f>IFERROR(__xludf.dummyfunction("""COMPUTED_VALUE"""),"19/11/2024")</f>
        <v>19/11/2024</v>
      </c>
      <c r="G301" s="11" t="str">
        <f>IFERROR(__xludf.dummyfunction("""COMPUTED_VALUE"""),"004******92")</f>
        <v>004******92</v>
      </c>
      <c r="H301" s="11" t="str">
        <f>IFERROR(__xludf.dummyfunction("""COMPUTED_VALUE"""),"INFANTIL 1")</f>
        <v>INFANTIL 1</v>
      </c>
      <c r="I301" s="12" t="str">
        <f>IFERROR(__xludf.dummyfunction("""COMPUTED_VALUE"""),"CRECHE MUNICIPAL PROFESSORA SILVIA CRISTINA SANTOS BOTELHO")</f>
        <v>CRECHE MUNICIPAL PROFESSORA SILVIA CRISTINA SANTOS BOTELHO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Height="1" spans="1:26">
      <c r="A302" s="3"/>
      <c r="B302" s="11" t="str">
        <f>IFERROR(__xludf.dummyfunction("""COMPUTED_VALUE"""),"REGIONAL 7")</f>
        <v>REGIONAL 7</v>
      </c>
      <c r="C302" s="11" t="str">
        <f>IFERROR(__xludf.dummyfunction("""COMPUTED_VALUE"""),"05/05/2026 10:48:19")</f>
        <v>05/05/2026 10:48:19</v>
      </c>
      <c r="D302" s="11" t="str">
        <f>IFERROR(__xludf.dummyfunction("""COMPUTED_VALUE"""),"4")</f>
        <v>4</v>
      </c>
      <c r="E302" s="11" t="str">
        <f>IFERROR(__xludf.dummyfunction("""COMPUTED_VALUE"""),"D. N")</f>
        <v>D. N</v>
      </c>
      <c r="F302" s="11" t="str">
        <f>IFERROR(__xludf.dummyfunction("""COMPUTED_VALUE"""),"19/06/2024")</f>
        <v>19/06/2024</v>
      </c>
      <c r="G302" s="11" t="str">
        <f>IFERROR(__xludf.dummyfunction("""COMPUTED_VALUE"""),"003******78")</f>
        <v>003******78</v>
      </c>
      <c r="H302" s="11" t="str">
        <f>IFERROR(__xludf.dummyfunction("""COMPUTED_VALUE"""),"INFANTIL 1")</f>
        <v>INFANTIL 1</v>
      </c>
      <c r="I302" s="12" t="str">
        <f>IFERROR(__xludf.dummyfunction("""COMPUTED_VALUE"""),"CRECHE MUNICIPAL PROFESSORA SILVIA CRISTINA SANTOS BOTELHO")</f>
        <v>CRECHE MUNICIPAL PROFESSORA SILVIA CRISTINA SANTOS BOTELHO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Height="1" spans="1:26">
      <c r="A303" s="3"/>
      <c r="B303" s="11" t="str">
        <f>IFERROR(__xludf.dummyfunction("""COMPUTED_VALUE"""),"REGIONAL 7")</f>
        <v>REGIONAL 7</v>
      </c>
      <c r="C303" s="11" t="str">
        <f>IFERROR(__xludf.dummyfunction("""COMPUTED_VALUE"""),"25/05/2026 19:36:10")</f>
        <v>25/05/2026 19:36:10</v>
      </c>
      <c r="D303" s="11" t="str">
        <f>IFERROR(__xludf.dummyfunction("""COMPUTED_VALUE"""),"5")</f>
        <v>5</v>
      </c>
      <c r="E303" s="11" t="str">
        <f>IFERROR(__xludf.dummyfunction("""COMPUTED_VALUE"""),"A. S. s. d. s")</f>
        <v>A. S. s. d. s</v>
      </c>
      <c r="F303" s="11" t="str">
        <f>IFERROR(__xludf.dummyfunction("""COMPUTED_VALUE"""),"05/01/2025")</f>
        <v>05/01/2025</v>
      </c>
      <c r="G303" s="11" t="str">
        <f>IFERROR(__xludf.dummyfunction("""COMPUTED_VALUE"""),"005******41")</f>
        <v>005******41</v>
      </c>
      <c r="H303" s="11" t="str">
        <f>IFERROR(__xludf.dummyfunction("""COMPUTED_VALUE"""),"INFANTIL 1")</f>
        <v>INFANTIL 1</v>
      </c>
      <c r="I303" s="12" t="str">
        <f>IFERROR(__xludf.dummyfunction("""COMPUTED_VALUE"""),"CRECHE MUNICIPAL PROFESSORA SILVIA CRISTINA SANTOS BOTELHO")</f>
        <v>CRECHE MUNICIPAL PROFESSORA SILVIA CRISTINA SANTOS BOTELHO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Height="1" spans="1:26">
      <c r="A304" s="3"/>
      <c r="B304" s="11" t="str">
        <f>IFERROR(__xludf.dummyfunction("""COMPUTED_VALUE"""),"REGIONAL 7")</f>
        <v>REGIONAL 7</v>
      </c>
      <c r="C304" s="11" t="str">
        <f>IFERROR(__xludf.dummyfunction("""COMPUTED_VALUE"""),"23/06/2026 14:42:25")</f>
        <v>23/06/2026 14:42:25</v>
      </c>
      <c r="D304" s="11" t="str">
        <f>IFERROR(__xludf.dummyfunction("""COMPUTED_VALUE"""),"6")</f>
        <v>6</v>
      </c>
      <c r="E304" s="11" t="str">
        <f>IFERROR(__xludf.dummyfunction("""COMPUTED_VALUE"""),"L. v. S. d. O. L")</f>
        <v>L. v. S. d. O. L</v>
      </c>
      <c r="F304" s="11" t="str">
        <f>IFERROR(__xludf.dummyfunction("""COMPUTED_VALUE"""),"27/12/2024")</f>
        <v>27/12/2024</v>
      </c>
      <c r="G304" s="11" t="str">
        <f>IFERROR(__xludf.dummyfunction("""COMPUTED_VALUE"""),"004******12")</f>
        <v>004******12</v>
      </c>
      <c r="H304" s="11" t="str">
        <f>IFERROR(__xludf.dummyfunction("""COMPUTED_VALUE"""),"INFANTIL 1")</f>
        <v>INFANTIL 1</v>
      </c>
      <c r="I304" s="12" t="str">
        <f>IFERROR(__xludf.dummyfunction("""COMPUTED_VALUE"""),"CRECHE MUNICIPAL PROFESSORA SILVIA CRISTINA SANTOS BOTELHO")</f>
        <v>CRECHE MUNICIPAL PROFESSORA SILVIA CRISTINA SANTOS BOTELHO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Height="1" spans="1:26">
      <c r="A305" s="3"/>
      <c r="B305" s="11" t="str">
        <f>IFERROR(__xludf.dummyfunction("""COMPUTED_VALUE"""),"REGIONAL 7")</f>
        <v>REGIONAL 7</v>
      </c>
      <c r="C305" s="11" t="str">
        <f>IFERROR(__xludf.dummyfunction("""COMPUTED_VALUE"""),"27/06/2026 22:58:33")</f>
        <v>27/06/2026 22:58:33</v>
      </c>
      <c r="D305" s="11" t="str">
        <f>IFERROR(__xludf.dummyfunction("""COMPUTED_VALUE"""),"7")</f>
        <v>7</v>
      </c>
      <c r="E305" s="11" t="str">
        <f>IFERROR(__xludf.dummyfunction("""COMPUTED_VALUE"""),"E. G. A. G")</f>
        <v>E. G. A. G</v>
      </c>
      <c r="F305" s="11" t="str">
        <f>IFERROR(__xludf.dummyfunction("""COMPUTED_VALUE"""),"19/06/2024")</f>
        <v>19/06/2024</v>
      </c>
      <c r="G305" s="11" t="str">
        <f>IFERROR(__xludf.dummyfunction("""COMPUTED_VALUE"""),"003******73")</f>
        <v>003******73</v>
      </c>
      <c r="H305" s="11" t="str">
        <f>IFERROR(__xludf.dummyfunction("""COMPUTED_VALUE"""),"INFANTIL 1")</f>
        <v>INFANTIL 1</v>
      </c>
      <c r="I305" s="12" t="str">
        <f>IFERROR(__xludf.dummyfunction("""COMPUTED_VALUE"""),"CRECHE MUNICIPAL PROFESSORA SILVIA CRISTINA SANTOS BOTELHO")</f>
        <v>CRECHE MUNICIPAL PROFESSORA SILVIA CRISTINA SANTOS BOTELHO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Height="1" spans="1:26">
      <c r="A306" s="3"/>
      <c r="B306" s="11" t="str">
        <f>IFERROR(__xludf.dummyfunction("""COMPUTED_VALUE"""),"REGIONAL 7")</f>
        <v>REGIONAL 7</v>
      </c>
      <c r="C306" s="11" t="str">
        <f>IFERROR(__xludf.dummyfunction("""COMPUTED_VALUE"""),"23/09/2026 13:18:48")</f>
        <v>23/09/2026 13:18:48</v>
      </c>
      <c r="D306" s="11" t="str">
        <f>IFERROR(__xludf.dummyfunction("""COMPUTED_VALUE"""),"8")</f>
        <v>8</v>
      </c>
      <c r="E306" s="11" t="str">
        <f>IFERROR(__xludf.dummyfunction("""COMPUTED_VALUE"""),"N. M. A. d. S")</f>
        <v>N. M. A. d. S</v>
      </c>
      <c r="F306" s="11" t="str">
        <f>IFERROR(__xludf.dummyfunction("""COMPUTED_VALUE"""),"16/02/2025")</f>
        <v>16/02/2025</v>
      </c>
      <c r="G306" s="11" t="str">
        <f>IFERROR(__xludf.dummyfunction("""COMPUTED_VALUE"""),"005******60")</f>
        <v>005******60</v>
      </c>
      <c r="H306" s="11" t="str">
        <f>IFERROR(__xludf.dummyfunction("""COMPUTED_VALUE"""),"INFANTIL 1")</f>
        <v>INFANTIL 1</v>
      </c>
      <c r="I306" s="12" t="str">
        <f>IFERROR(__xludf.dummyfunction("""COMPUTED_VALUE"""),"CRECHE MUNICIPAL PROFESSORA SILVIA CRISTINA SANTOS BOTELHO")</f>
        <v>CRECHE MUNICIPAL PROFESSORA SILVIA CRISTINA SANTOS BOTELHO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</sheetData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X997"/>
  <sheetViews>
    <sheetView workbookViewId="0">
      <selection activeCell="A1" sqref="A1"/>
    </sheetView>
  </sheetViews>
  <sheetFormatPr defaultColWidth="14.43" defaultRowHeight="15" customHeight="1"/>
  <cols>
    <col min="1" max="1" width="57" customWidth="1"/>
    <col min="2" max="2" width="62.29" customWidth="1"/>
    <col min="3" max="20" width="83" customWidth="1"/>
  </cols>
  <sheetData>
    <row r="1" ht="15.5" spans="1:24">
      <c r="A1" s="1" t="s">
        <v>1347</v>
      </c>
      <c r="B1" s="1" t="s">
        <v>1372</v>
      </c>
      <c r="C1" s="1" t="s">
        <v>18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5.5" spans="1:24">
      <c r="A2" s="2" t="s">
        <v>1373</v>
      </c>
      <c r="B2" s="2" t="s">
        <v>1374</v>
      </c>
      <c r="C2" s="2">
        <v>2026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5.5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5.5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5.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5.5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5.5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5.5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5.5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5.5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5.5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5.5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5.5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5.5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5.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5.5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5.5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5.75" customHeight="1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5.75" customHeight="1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5.75" customHeight="1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5.75" customHeight="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5.75" customHeight="1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5.75" customHeight="1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5.75" customHeight="1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5.75" customHeight="1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5.75" customHeight="1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5.75" customHeight="1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5.75" customHeight="1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5.75" customHeight="1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5.75" customHeight="1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5.75" customHeight="1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5.75" customHeight="1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5.75" customHeight="1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5.75" customHeight="1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5.75" customHeight="1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5.75" customHeight="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5.75" customHeight="1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5.75" customHeight="1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5.75" customHeight="1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5.75" customHeight="1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5.75" customHeight="1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5.75" customHeight="1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5.75" customHeight="1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5.75" customHeight="1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5.75" customHeight="1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5.75" customHeight="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5.75" customHeight="1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5.75" customHeight="1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5.75" customHeight="1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5.75" customHeight="1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5.75" customHeight="1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5.75" customHeight="1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5.75" customHeight="1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5.75" customHeight="1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5.75" customHeight="1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5.75" customHeight="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5.75" customHeight="1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5.75" customHeight="1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5.75" customHeight="1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5.75" customHeight="1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5.75" customHeight="1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5.75" customHeight="1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5.75" customHeight="1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5.75" customHeight="1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5.75" customHeight="1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5.75" customHeight="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5.75" customHeight="1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5.75" customHeight="1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5.75" customHeight="1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5.75" customHeight="1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5.75" customHeight="1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5.75" customHeight="1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5.75" customHeight="1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5.75" customHeight="1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5.75" customHeight="1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5.75" customHeight="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5.75" customHeight="1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5.75" customHeight="1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5.75" customHeight="1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5.75" customHeight="1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5.75" customHeight="1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5.75" customHeight="1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5.75" customHeight="1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5.75" customHeight="1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5.75" customHeight="1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5.75" customHeight="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5.75" customHeight="1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5.75" customHeight="1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5.75" customHeight="1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5.75" customHeight="1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5.75" customHeight="1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5.75" customHeight="1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5.75" customHeight="1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5.75" customHeight="1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5.75" customHeight="1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5.75" customHeight="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5.75" customHeight="1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5.75" customHeight="1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5.75" customHeight="1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5.75" customHeight="1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5.75" customHeight="1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5.75" customHeight="1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5.75" customHeight="1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5.75" customHeight="1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5.75" customHeight="1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5.75" customHeight="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5.75" customHeight="1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5.75" customHeight="1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5.75" customHeight="1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5.75" customHeight="1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5.75" customHeight="1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5.75" customHeight="1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5.75" customHeight="1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5.75" customHeight="1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5.75" customHeight="1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5.75" customHeight="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5.75" customHeight="1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5.75" customHeight="1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5.75" customHeight="1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5.75" customHeight="1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5.75" customHeight="1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5.75" customHeight="1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5.75" customHeight="1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5.75" customHeight="1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5.75" customHeight="1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5.75" customHeight="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5.75" customHeight="1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5.75" customHeight="1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5.75" customHeight="1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5.75" customHeight="1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5.75" customHeight="1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5.75" customHeight="1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5.75" customHeight="1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5.75" customHeight="1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5.75" customHeight="1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5.75" customHeight="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5.75" customHeight="1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5.75" customHeight="1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5.75" customHeight="1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5.75" customHeight="1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5.75" customHeight="1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5.75" customHeight="1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5.75" customHeight="1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5.75" customHeight="1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5.75" customHeight="1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5.75" customHeight="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5.75" customHeight="1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5.75" customHeight="1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5.75" customHeight="1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5.75" customHeight="1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5.75" customHeight="1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5.75" customHeight="1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5.75" customHeight="1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5.75" customHeight="1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5.75" customHeight="1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5.75" customHeight="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5.75" customHeight="1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5.75" customHeight="1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5.75" customHeight="1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5.75" customHeight="1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5.75" customHeight="1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5.75" customHeight="1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5.75" customHeight="1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5.75" customHeight="1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5.75" customHeight="1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5.75" customHeight="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5.75" customHeight="1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5.75" customHeight="1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5.75" customHeight="1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5.75" customHeight="1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5.75" customHeight="1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5.75" customHeight="1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5.75" customHeight="1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5.75" customHeight="1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5.75" customHeight="1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5.75" customHeight="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5.75" customHeight="1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5.75" customHeight="1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5.75" customHeight="1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5.75" customHeight="1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5.75" customHeight="1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5.75" customHeight="1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5.75" customHeight="1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5.75" customHeight="1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5.75" customHeight="1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5.75" customHeight="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5.75" customHeight="1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5.75" customHeight="1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5.75" customHeight="1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5.75" customHeight="1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5.75" customHeight="1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5.75" customHeight="1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5.75" customHeight="1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5.75" customHeight="1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5.75" customHeight="1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5.75" customHeight="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5.75" customHeight="1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5.75" customHeight="1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5.75" customHeight="1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5.75" customHeight="1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5.75" customHeight="1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5.75" customHeight="1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5.75" customHeight="1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5.75" customHeight="1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5.75" customHeight="1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5.75" customHeight="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5.75" customHeight="1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5.75" customHeight="1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5.75" customHeight="1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5.75" customHeight="1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5.75" customHeight="1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5.75" customHeight="1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5.75" customHeight="1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5.75" customHeight="1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5.75" customHeight="1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5.75" customHeight="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5.75" customHeight="1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5.75" customHeight="1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5.75" customHeight="1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5.75" customHeight="1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5.75" customHeight="1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5.75" customHeight="1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5.75" customHeight="1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5.75" customHeight="1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5.75" customHeight="1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5.75" customHeight="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5.75" customHeight="1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5.75" customHeight="1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5.75" customHeight="1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5.75" customHeight="1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5.75" customHeight="1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5.75" customHeight="1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5.75" customHeight="1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5.75" customHeight="1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5.75" customHeight="1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5.75" customHeight="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5.75" customHeight="1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5.75" customHeight="1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5.75" customHeight="1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5.75" customHeight="1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5.75" customHeight="1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5.75" customHeight="1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5.75" customHeight="1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5.75" customHeight="1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5.75" customHeight="1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5.75" customHeight="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5.75" customHeight="1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5.75" customHeight="1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5.75" customHeight="1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5.75" customHeight="1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5.75" customHeight="1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5.75" customHeight="1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5.75" customHeight="1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5.75" customHeight="1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5.75" customHeight="1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5.75" customHeight="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5.75" customHeight="1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5.75" customHeight="1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5.75" customHeight="1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5.75" customHeight="1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5.75" customHeight="1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5.75" customHeight="1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5.75" customHeight="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5.75" customHeight="1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5.75" customHeight="1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5.75" customHeight="1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5.75" customHeight="1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5.75" customHeight="1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5.75" customHeight="1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5.75" customHeight="1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5.75" customHeight="1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5.75" customHeight="1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5.75" customHeight="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5.75" customHeight="1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5.75" customHeight="1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5.75" customHeight="1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5.75" customHeight="1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5.75" customHeight="1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5.75" customHeight="1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5.75" customHeight="1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5.75" customHeight="1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5.75" customHeight="1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5.75" customHeight="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5.75" customHeight="1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5.75" customHeight="1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5.75" customHeight="1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5.75" customHeight="1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5.75" customHeight="1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5.75" customHeight="1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5.75" customHeight="1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5.75" customHeight="1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5.75" customHeight="1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5.75" customHeight="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5.75" customHeight="1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5.75" customHeight="1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5.75" customHeight="1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5.75" customHeight="1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5.75" customHeight="1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5.75" customHeight="1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5.75" customHeight="1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5.75" customHeight="1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5.75" customHeight="1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5.75" customHeight="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5.75" customHeight="1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5.75" customHeight="1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5.75" customHeight="1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5.75" customHeight="1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5.75" customHeight="1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15.75" customHeight="1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15.75" customHeight="1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15.75" customHeight="1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15.75" customHeight="1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15.75" customHeight="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15.75" customHeight="1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ht="15.75" customHeight="1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ht="15.75" customHeight="1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ht="15.75" customHeight="1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ht="15.75" customHeight="1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ht="15.75" customHeight="1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LibreOffice/26.2.5.2$Windows_X86_64 LibreOffice_project/cd7284b4cbbfeb507e630c1aac019f4157393acb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CandidatosFilaDeEspera</vt:lpstr>
      <vt:lpstr>dados_01</vt:lpstr>
      <vt:lpstr>Dados_Esc_JAB_2026</vt:lpstr>
      <vt:lpstr>dados_02</vt:lpstr>
      <vt:lpstr>regional_01</vt:lpstr>
      <vt:lpstr>regional_02</vt:lpstr>
      <vt:lpstr>regional_03</vt:lpstr>
      <vt:lpstr>regional_04</vt:lpstr>
      <vt:lpstr>regional_05</vt:lpstr>
      <vt:lpstr>regional_06</vt:lpstr>
      <vt:lpstr>regional_07</vt:lpstr>
      <vt:lpstr>Dados_consolidados</vt:lpstr>
      <vt:lpstr>link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Transparência Jaboatão</cp:lastModifiedBy>
  <cp:revision>1</cp:revision>
  <dcterms:created xsi:type="dcterms:W3CDTF">2026-10-02T13:24:00Z</dcterms:created>
  <dcterms:modified xsi:type="dcterms:W3CDTF">2026-10-14T16:33:36Z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8B0D62E40EA84B55925DE72B40ABAC88_13</vt:lpwstr>
  </property>
  <property fmtid="{D5CDD505-2E9C-101B-9397-08002B2CF9AE}" pid="4" name="KSOProductBuildVer">
    <vt:lpwstr>2070-12.1.0.28485</vt:lpwstr>
  </property>
</Properties>
</file>